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6960" windowHeight="8970" tabRatio="819" activeTab="0"/>
  </bookViews>
  <sheets>
    <sheet name="Classement" sheetId="1" r:id="rId1"/>
    <sheet name="Individuel" sheetId="2" r:id="rId2"/>
    <sheet name="Échanges" sheetId="3" r:id="rId3"/>
    <sheet name="Arch. Sem." sheetId="4" r:id="rId4"/>
    <sheet name="Arch. Mois" sheetId="5" r:id="rId5"/>
    <sheet name="Bourse" sheetId="6" r:id="rId6"/>
  </sheets>
  <externalReferences>
    <externalReference r:id="rId9"/>
  </externalReferences>
  <definedNames/>
  <calcPr fullCalcOnLoad="1" iterate="1" iterateCount="300" iterateDelta="0.001"/>
</workbook>
</file>

<file path=xl/sharedStrings.xml><?xml version="1.0" encoding="utf-8"?>
<sst xmlns="http://schemas.openxmlformats.org/spreadsheetml/2006/main" count="1769" uniqueCount="154">
  <si>
    <t>Classement Général</t>
  </si>
  <si>
    <t>Points</t>
  </si>
  <si>
    <t>Pos</t>
  </si>
  <si>
    <t>Pooleurs</t>
  </si>
  <si>
    <t>P.J. Total</t>
  </si>
  <si>
    <t>Équipe</t>
  </si>
  <si>
    <t>Gardiens</t>
  </si>
  <si>
    <t xml:space="preserve">Ailier </t>
  </si>
  <si>
    <t>Centre</t>
  </si>
  <si>
    <t>Défenseurs</t>
  </si>
  <si>
    <t>Recrues</t>
  </si>
  <si>
    <t>Pj joueurs</t>
  </si>
  <si>
    <t>Buts</t>
  </si>
  <si>
    <t>Passes</t>
  </si>
  <si>
    <t>Pts joueurs</t>
  </si>
  <si>
    <t>Moy. 
Pts.
Par.</t>
  </si>
  <si>
    <t>Jour
 en
 tête</t>
  </si>
  <si>
    <t>Diff.</t>
  </si>
  <si>
    <t>1-</t>
  </si>
  <si>
    <t>-----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</si>
  <si>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</si>
  <si>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</si>
  <si>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</si>
  <si>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</si>
  <si>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</si>
  <si>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</si>
  <si>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</si>
  <si>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</si>
  <si>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</si>
  <si>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Classement Octobre</t>
  </si>
  <si>
    <t>Classement Semaine 1</t>
  </si>
  <si>
    <t>P.J.</t>
  </si>
  <si>
    <t>Patrick B.</t>
  </si>
  <si>
    <t>Ailiers</t>
  </si>
  <si>
    <t>Centres</t>
  </si>
  <si>
    <t xml:space="preserve">Points 
(excluant gardiens) </t>
  </si>
  <si>
    <t>Moy. Pts. Match</t>
  </si>
  <si>
    <t>Réservistes</t>
  </si>
  <si>
    <t>Moy. D'âge</t>
  </si>
  <si>
    <t>Vict.</t>
  </si>
  <si>
    <t>Gardiens Victoire</t>
  </si>
  <si>
    <t>Gardiens Blanchissage</t>
  </si>
  <si>
    <t>Gardiens Def. Prol.</t>
  </si>
  <si>
    <t>Blanc</t>
  </si>
  <si>
    <t>DP</t>
  </si>
  <si>
    <t xml:space="preserve">Moyenne Ligue: </t>
  </si>
  <si>
    <t xml:space="preserve">Johnny </t>
  </si>
  <si>
    <t>Jonathan</t>
  </si>
  <si>
    <t>Patrick L.</t>
  </si>
  <si>
    <t>Gilles</t>
  </si>
  <si>
    <t>Sylvain</t>
  </si>
  <si>
    <t xml:space="preserve">Phil </t>
  </si>
  <si>
    <t>Hugo</t>
  </si>
  <si>
    <t>Maxime</t>
  </si>
  <si>
    <t>Moy.</t>
  </si>
  <si>
    <t>Total</t>
  </si>
  <si>
    <t>Nom Pooleur</t>
  </si>
  <si>
    <t>Total
Échanges</t>
  </si>
  <si>
    <t>Échange 
intra-
équipe</t>
  </si>
  <si>
    <t>Total des 
échanges
LNH+Intra</t>
  </si>
  <si>
    <t>Échange
Blessé</t>
  </si>
  <si>
    <t>Échange
Contrat</t>
  </si>
  <si>
    <t>Joueur
Suspendu</t>
  </si>
  <si>
    <t>Échange
Retraite</t>
  </si>
  <si>
    <t xml:space="preserve">Échange
Mineur </t>
  </si>
  <si>
    <t>Échange
raison
personnelle</t>
  </si>
  <si>
    <t xml:space="preserve">Échange
Agent Libre
LNH * </t>
  </si>
  <si>
    <t>Échange
entre
pooleurs *</t>
  </si>
  <si>
    <t>* = date limite des échanges de la LNH plus 24 heures.</t>
  </si>
  <si>
    <t>2007-2008</t>
  </si>
  <si>
    <t>Gains de Semaine</t>
  </si>
  <si>
    <t>Gains de Mois</t>
  </si>
  <si>
    <t>Gaetan</t>
  </si>
  <si>
    <t xml:space="preserve">Classement incluant les matchs du: </t>
  </si>
  <si>
    <t>Course aux séries</t>
  </si>
  <si>
    <t>Nom du pooleur</t>
  </si>
  <si>
    <t>Historiques des joueurs volés par les autres pooleurs….</t>
  </si>
  <si>
    <t>Totals</t>
  </si>
  <si>
    <t>Joueurs
volé par 
un autres 
pooleurs</t>
  </si>
  <si>
    <t>Joueurs
volé au 
pooleurs 
qui le vole</t>
  </si>
  <si>
    <t>Joueurs
attribué
suite à un
vol</t>
  </si>
  <si>
    <t>Joueurs
réclamé
et obtenu</t>
  </si>
  <si>
    <t>Nombres
de joueurs
réclamé
dans la LNH</t>
  </si>
  <si>
    <t>% réussite
réclamé et
obtenu</t>
  </si>
  <si>
    <t>% de joueurs
volé
lors de la 
réclamation</t>
  </si>
  <si>
    <t>% réussite
de joueurs
volé à un autres</t>
  </si>
  <si>
    <t>Total $</t>
  </si>
  <si>
    <t>3e saison</t>
  </si>
  <si>
    <t>1er Séries</t>
  </si>
  <si>
    <t>2e séries</t>
  </si>
  <si>
    <t>3e séries</t>
  </si>
  <si>
    <t>Classement Bourses</t>
  </si>
  <si>
    <t>Séries 2008</t>
  </si>
  <si>
    <t>xxxxxxxxxx</t>
  </si>
  <si>
    <t>2008-2009</t>
  </si>
  <si>
    <t>Gardiens (5$)</t>
  </si>
  <si>
    <t>Mois (10$ ch.)</t>
  </si>
  <si>
    <t>Équipes (5$)</t>
  </si>
  <si>
    <t>15 échanges maximum</t>
  </si>
  <si>
    <t>Ailiers (5$)</t>
  </si>
  <si>
    <t>Centres (5$)</t>
  </si>
  <si>
    <t>Défenseurs (5$)</t>
  </si>
  <si>
    <t>1er saison</t>
  </si>
  <si>
    <t>2e saison</t>
  </si>
  <si>
    <t>Buts (5$</t>
  </si>
  <si>
    <t>Passes (5$)</t>
  </si>
  <si>
    <t>Points (5$)</t>
  </si>
  <si>
    <t>Saison 2008/09</t>
  </si>
  <si>
    <t>Individuels</t>
  </si>
  <si>
    <t>Mois</t>
  </si>
  <si>
    <t>Recrues (5$)</t>
  </si>
  <si>
    <t xml:space="preserve">Gaetan vole Krajicek à Maxime </t>
  </si>
  <si>
    <t>Classement Semaine 2</t>
  </si>
  <si>
    <t>Jonathan Vole Neal à Patrick L.</t>
  </si>
  <si>
    <t>Classement Semaine 3</t>
  </si>
  <si>
    <t>Classement Semaine 4</t>
  </si>
  <si>
    <t>Johnny Vole Ehrhoff à Sylvain et Gaetan revole Ehrhoff à Johnny</t>
  </si>
  <si>
    <t>Classement Novembre</t>
  </si>
  <si>
    <t>Maxime Vole Hansen à Jonathan</t>
  </si>
  <si>
    <t>Maxime Vole Sbisa  à Sylvain et Gilles revole Sbisa à Maxime.</t>
  </si>
  <si>
    <t>Classement Semaine 5</t>
  </si>
  <si>
    <t>Classement Semaine 6</t>
  </si>
  <si>
    <t>Gilles vole Grabovski à Patrick L.</t>
  </si>
  <si>
    <t>Classement Semaine 7</t>
  </si>
  <si>
    <t>Maxime vole Ersberg à Patrick B et Patrick L. revole à Maxime</t>
  </si>
  <si>
    <t>Classement Semaine 8</t>
  </si>
  <si>
    <t>Classement Semaine 9</t>
  </si>
  <si>
    <t>Classement Décembre</t>
  </si>
  <si>
    <t>Maxime vole Sullivan à Sylvain</t>
  </si>
  <si>
    <t>Gilles Vole Lepisto à Maxime et Gaetan revole à Maxime</t>
  </si>
  <si>
    <t>Hugo Vole D'Agostini à Maxime et Gaetan revole à Hugo</t>
  </si>
  <si>
    <t>Gilles vole Krejci à Patrick L.</t>
  </si>
  <si>
    <t>Classement Semaine 10</t>
  </si>
  <si>
    <t>Patrick L. vole Schremp à Maxime</t>
  </si>
  <si>
    <t>Patrcik L. vole Valarmov à Johnny</t>
  </si>
  <si>
    <t>Classement Semaine 11</t>
  </si>
  <si>
    <t>Classement Semaine 12</t>
  </si>
  <si>
    <t>Classement Semaine 13</t>
  </si>
  <si>
    <t>Classement Janvier</t>
  </si>
  <si>
    <t>Classement Semaine 14</t>
  </si>
  <si>
    <t>Classement Semaine 15</t>
  </si>
  <si>
    <t>Jonathan vole Elliott à Johnny</t>
  </si>
  <si>
    <t>Classement Semaine 16</t>
  </si>
  <si>
    <t>Classement Semaine 17</t>
  </si>
  <si>
    <t>Classement Février</t>
  </si>
  <si>
    <t>Classement Semaine 18</t>
  </si>
  <si>
    <t>Hugo vole Rask à Hugo, qui se fait voler par Johnny, qui est volé par Gilles et finalement Max le vol à son tour !!!</t>
  </si>
  <si>
    <t>Classement Semaine 19</t>
  </si>
  <si>
    <t>Classement Semaine 20</t>
  </si>
  <si>
    <t>Classement Semaine 21</t>
  </si>
  <si>
    <t>Classement Mars</t>
  </si>
  <si>
    <t>Classement Semaine 22</t>
  </si>
  <si>
    <t>Classement Semaine 23</t>
  </si>
  <si>
    <t>12-03-2009</t>
  </si>
</sst>
</file>

<file path=xl/styles.xml><?xml version="1.0" encoding="utf-8"?>
<styleSheet xmlns="http://schemas.openxmlformats.org/spreadsheetml/2006/main">
  <numFmts count="5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E+00;\ĝ"/>
    <numFmt numFmtId="188" formatCode="0.0E+00;\࣐"/>
    <numFmt numFmtId="189" formatCode="0.00E+00;\࣐"/>
    <numFmt numFmtId="190" formatCode="0.000E+00;\࣐"/>
    <numFmt numFmtId="191" formatCode="0E+00;\࣐"/>
    <numFmt numFmtId="192" formatCode="0.0000E+00;\࣐"/>
    <numFmt numFmtId="193" formatCode="0.00000E+00;\࣐"/>
    <numFmt numFmtId="194" formatCode="0.000000E+00;\࣐"/>
    <numFmt numFmtId="195" formatCode="0.0000000E+00;\࣐"/>
    <numFmt numFmtId="196" formatCode="0.00000000E+00;\࣐"/>
    <numFmt numFmtId="197" formatCode="0.000000000E+00;\࣐"/>
    <numFmt numFmtId="198" formatCode="0.0000000000E+00;\࣐"/>
    <numFmt numFmtId="199" formatCode="0.00000000000E+00;\࣐"/>
    <numFmt numFmtId="200" formatCode="0.000000000000E+00;\࣐"/>
    <numFmt numFmtId="201" formatCode="#,##0.00_);\(#,##0.00\)"/>
    <numFmt numFmtId="202" formatCode="#,##0.000_);\(#,##0.000\)"/>
    <numFmt numFmtId="203" formatCode="#,##0.0_);\(#,##0.0\)"/>
    <numFmt numFmtId="204" formatCode="_-* #,##0.00\ [$€-1]_-;_-* #,##0.00\ [$€-1]\-;_-* &quot;-&quot;??\ [$€-1]_-"/>
    <numFmt numFmtId="205" formatCode="[$-C0C]d\ mmmm\ yyyy"/>
    <numFmt numFmtId="206" formatCode="&quot;Vrai&quot;;&quot;Vrai&quot;;&quot;Faux&quot;"/>
    <numFmt numFmtId="207" formatCode="&quot;Actif&quot;;&quot;Actif&quot;;&quot;Inactif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"/>
      <color indexed="18"/>
      <name val="Bodoni MT Black"/>
      <family val="1"/>
    </font>
    <font>
      <sz val="10"/>
      <name val="Bodoni MT Black"/>
      <family val="1"/>
    </font>
    <font>
      <b/>
      <sz val="10"/>
      <color indexed="10"/>
      <name val="Bodoni MT Black"/>
      <family val="1"/>
    </font>
    <font>
      <b/>
      <sz val="10"/>
      <color indexed="17"/>
      <name val="Bodoni MT Black"/>
      <family val="1"/>
    </font>
    <font>
      <b/>
      <sz val="10"/>
      <name val="Bodoni MT Black"/>
      <family val="1"/>
    </font>
    <font>
      <sz val="22"/>
      <name val="Bodoni MT Black"/>
      <family val="1"/>
    </font>
    <font>
      <sz val="10"/>
      <color indexed="10"/>
      <name val="Bodoni MT Black"/>
      <family val="1"/>
    </font>
    <font>
      <b/>
      <sz val="10"/>
      <color indexed="18"/>
      <name val="Bodoni MT Black"/>
      <family val="1"/>
    </font>
    <font>
      <sz val="22"/>
      <color indexed="10"/>
      <name val="Bodoni MT Black"/>
      <family val="1"/>
    </font>
    <font>
      <sz val="16"/>
      <color indexed="18"/>
      <name val="Bodoni MT Black"/>
      <family val="1"/>
    </font>
    <font>
      <sz val="12"/>
      <color indexed="18"/>
      <name val="Bodoni MT Black"/>
      <family val="1"/>
    </font>
    <font>
      <sz val="14"/>
      <color indexed="18"/>
      <name val="Bodoni MT Black"/>
      <family val="1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Comic Sans MS"/>
      <family val="4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sz val="10"/>
      <color indexed="60"/>
      <name val="Bodoni MT Black"/>
      <family val="1"/>
    </font>
    <font>
      <i/>
      <sz val="14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omic Sans MS"/>
      <family val="4"/>
    </font>
    <font>
      <b/>
      <sz val="10"/>
      <color indexed="58"/>
      <name val="Bodoni MT Black"/>
      <family val="1"/>
    </font>
  </fonts>
  <fills count="1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24"/>
      </patternFill>
    </fill>
    <fill>
      <patternFill patternType="gray0625">
        <fgColor indexed="10"/>
      </patternFill>
    </fill>
    <fill>
      <patternFill patternType="gray0625">
        <fgColor indexed="12"/>
      </patternFill>
    </fill>
    <fill>
      <patternFill patternType="gray0625">
        <fgColor indexed="57"/>
      </patternFill>
    </fill>
    <fill>
      <patternFill patternType="gray06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DashDotDot"/>
    </border>
    <border>
      <left style="thin"/>
      <right style="thin"/>
      <top style="thin"/>
      <bottom style="double"/>
    </border>
    <border>
      <left style="thin"/>
      <right style="thin"/>
      <top style="thin"/>
      <bottom style="mediumDashed">
        <color indexed="60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83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0" fontId="6" fillId="7" borderId="0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8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83" fontId="5" fillId="0" borderId="2" xfId="0" applyNumberFormat="1" applyFont="1" applyBorder="1" applyAlignment="1">
      <alignment horizontal="center"/>
    </xf>
    <xf numFmtId="0" fontId="5" fillId="5" borderId="2" xfId="0" applyFont="1" applyFill="1" applyBorder="1" applyAlignment="1" quotePrefix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 applyAlignment="1" quotePrefix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8" fillId="9" borderId="5" xfId="0" applyFont="1" applyFill="1" applyBorder="1" applyAlignment="1">
      <alignment/>
    </xf>
    <xf numFmtId="0" fontId="8" fillId="0" borderId="5" xfId="0" applyFont="1" applyBorder="1" applyAlignment="1">
      <alignment horizontal="center" textRotation="180"/>
    </xf>
    <xf numFmtId="0" fontId="11" fillId="0" borderId="5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wrapText="1"/>
    </xf>
    <xf numFmtId="0" fontId="7" fillId="9" borderId="5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8" borderId="5" xfId="0" applyFont="1" applyFill="1" applyBorder="1" applyAlignment="1">
      <alignment/>
    </xf>
    <xf numFmtId="0" fontId="6" fillId="0" borderId="5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wrapText="1"/>
    </xf>
    <xf numFmtId="0" fontId="6" fillId="8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4" borderId="5" xfId="0" applyFont="1" applyFill="1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5" borderId="5" xfId="0" applyFont="1" applyFill="1" applyBorder="1" applyAlignment="1">
      <alignment/>
    </xf>
    <xf numFmtId="183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/>
    </xf>
    <xf numFmtId="0" fontId="18" fillId="0" borderId="6" xfId="0" applyFont="1" applyFill="1" applyBorder="1" applyAlignment="1">
      <alignment wrapText="1"/>
    </xf>
    <xf numFmtId="0" fontId="19" fillId="4" borderId="6" xfId="0" applyFont="1" applyFill="1" applyBorder="1" applyAlignment="1">
      <alignment horizontal="center" wrapText="1"/>
    </xf>
    <xf numFmtId="0" fontId="20" fillId="10" borderId="6" xfId="0" applyFont="1" applyFill="1" applyBorder="1" applyAlignment="1">
      <alignment wrapText="1"/>
    </xf>
    <xf numFmtId="0" fontId="5" fillId="10" borderId="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4" fillId="0" borderId="1" xfId="0" applyFont="1" applyBorder="1" applyAlignment="1" quotePrefix="1">
      <alignment horizontal="center"/>
    </xf>
    <xf numFmtId="0" fontId="25" fillId="0" borderId="1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83" fontId="5" fillId="0" borderId="7" xfId="0" applyNumberFormat="1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9" fontId="5" fillId="0" borderId="2" xfId="2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0" borderId="11" xfId="22" applyFont="1" applyBorder="1" applyAlignment="1">
      <alignment horizontal="center"/>
    </xf>
    <xf numFmtId="0" fontId="0" fillId="0" borderId="0" xfId="0" applyAlignment="1">
      <alignment wrapText="1"/>
    </xf>
    <xf numFmtId="9" fontId="5" fillId="0" borderId="12" xfId="22" applyFont="1" applyBorder="1" applyAlignment="1">
      <alignment horizontal="center"/>
    </xf>
    <xf numFmtId="0" fontId="0" fillId="0" borderId="0" xfId="0" applyAlignment="1">
      <alignment horizontal="center"/>
    </xf>
    <xf numFmtId="17" fontId="6" fillId="0" borderId="5" xfId="0" applyNumberFormat="1" applyFont="1" applyBorder="1" applyAlignment="1">
      <alignment horizontal="center" textRotation="180"/>
    </xf>
    <xf numFmtId="6" fontId="0" fillId="8" borderId="1" xfId="0" applyNumberFormat="1" applyFill="1" applyBorder="1" applyAlignment="1">
      <alignment horizontal="center"/>
    </xf>
    <xf numFmtId="6" fontId="0" fillId="11" borderId="1" xfId="0" applyNumberFormat="1" applyFill="1" applyBorder="1" applyAlignment="1">
      <alignment/>
    </xf>
    <xf numFmtId="5" fontId="5" fillId="0" borderId="2" xfId="20" applyNumberFormat="1" applyFont="1" applyBorder="1" applyAlignment="1">
      <alignment horizontal="center"/>
    </xf>
    <xf numFmtId="5" fontId="5" fillId="0" borderId="1" xfId="20" applyNumberFormat="1" applyFont="1" applyBorder="1" applyAlignment="1">
      <alignment horizontal="center"/>
    </xf>
    <xf numFmtId="5" fontId="5" fillId="0" borderId="1" xfId="20" applyNumberFormat="1" applyFont="1" applyFill="1" applyBorder="1" applyAlignment="1">
      <alignment horizontal="center"/>
    </xf>
    <xf numFmtId="5" fontId="22" fillId="0" borderId="2" xfId="20" applyNumberFormat="1" applyFont="1" applyFill="1" applyBorder="1" applyAlignment="1">
      <alignment horizontal="center"/>
    </xf>
    <xf numFmtId="5" fontId="22" fillId="0" borderId="1" xfId="20" applyNumberFormat="1" applyFont="1" applyFill="1" applyBorder="1" applyAlignment="1">
      <alignment horizontal="center"/>
    </xf>
    <xf numFmtId="5" fontId="5" fillId="0" borderId="13" xfId="20" applyNumberFormat="1" applyFont="1" applyBorder="1" applyAlignment="1">
      <alignment horizontal="center"/>
    </xf>
    <xf numFmtId="5" fontId="22" fillId="0" borderId="13" xfId="20" applyNumberFormat="1" applyFont="1" applyFill="1" applyBorder="1" applyAlignment="1">
      <alignment horizontal="center"/>
    </xf>
    <xf numFmtId="5" fontId="5" fillId="4" borderId="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186" fontId="16" fillId="0" borderId="3" xfId="0" applyNumberFormat="1" applyFont="1" applyBorder="1" applyAlignment="1">
      <alignment horizontal="center"/>
    </xf>
    <xf numFmtId="186" fontId="5" fillId="0" borderId="1" xfId="0" applyNumberFormat="1" applyFont="1" applyFill="1" applyBorder="1" applyAlignment="1">
      <alignment horizontal="center"/>
    </xf>
    <xf numFmtId="0" fontId="27" fillId="10" borderId="6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/>
    </xf>
    <xf numFmtId="5" fontId="5" fillId="0" borderId="1" xfId="20" applyNumberFormat="1" applyFont="1" applyFill="1" applyBorder="1" applyAlignment="1" quotePrefix="1">
      <alignment horizontal="center"/>
    </xf>
    <xf numFmtId="5" fontId="5" fillId="0" borderId="2" xfId="2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8" fillId="0" borderId="5" xfId="0" applyFont="1" applyBorder="1" applyAlignment="1">
      <alignment horizontal="center" textRotation="180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21" fillId="0" borderId="0" xfId="0" applyNumberFormat="1" applyFont="1" applyAlignment="1">
      <alignment horizontal="center"/>
    </xf>
    <xf numFmtId="0" fontId="5" fillId="9" borderId="0" xfId="0" applyFont="1" applyFill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183" fontId="16" fillId="0" borderId="3" xfId="0" applyNumberFormat="1" applyFont="1" applyBorder="1" applyAlignment="1">
      <alignment horizontal="center"/>
    </xf>
    <xf numFmtId="204" fontId="0" fillId="0" borderId="0" xfId="15" applyAlignment="1">
      <alignment/>
    </xf>
    <xf numFmtId="0" fontId="17" fillId="0" borderId="0" xfId="0" applyFont="1" applyBorder="1" applyAlignment="1">
      <alignment horizontal="center"/>
    </xf>
    <xf numFmtId="0" fontId="13" fillId="12" borderId="18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9" fillId="16" borderId="19" xfId="0" applyFont="1" applyFill="1" applyBorder="1" applyAlignment="1">
      <alignment horizontal="center"/>
    </xf>
    <xf numFmtId="0" fontId="9" fillId="16" borderId="20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textRotation="180"/>
    </xf>
    <xf numFmtId="0" fontId="4" fillId="12" borderId="18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13" fillId="12" borderId="27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1" fillId="14" borderId="10" xfId="0" applyFont="1" applyFill="1" applyBorder="1" applyAlignment="1">
      <alignment horizontal="center"/>
    </xf>
    <xf numFmtId="0" fontId="11" fillId="14" borderId="22" xfId="0" applyFont="1" applyFill="1" applyBorder="1" applyAlignment="1">
      <alignment horizontal="center"/>
    </xf>
    <xf numFmtId="0" fontId="11" fillId="14" borderId="23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133350</xdr:rowOff>
    </xdr:from>
    <xdr:to>
      <xdr:col>10</xdr:col>
      <xdr:colOff>161925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3335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114300</xdr:rowOff>
    </xdr:from>
    <xdr:to>
      <xdr:col>8</xdr:col>
      <xdr:colOff>400050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430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142875</xdr:rowOff>
    </xdr:from>
    <xdr:to>
      <xdr:col>6</xdr:col>
      <xdr:colOff>352425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42875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95250</xdr:rowOff>
    </xdr:from>
    <xdr:to>
      <xdr:col>8</xdr:col>
      <xdr:colOff>466725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525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7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5240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104775</xdr:rowOff>
    </xdr:from>
    <xdr:to>
      <xdr:col>10</xdr:col>
      <xdr:colOff>276225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4775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peL.P.C.H.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ick B."/>
      <sheetName val="Sylvain"/>
      <sheetName val="Hugo"/>
      <sheetName val="Johnny"/>
      <sheetName val="Gilles"/>
      <sheetName val="Maxime"/>
      <sheetName val="Jonathan"/>
      <sheetName val="Phil"/>
      <sheetName val="Gaetan"/>
      <sheetName val="Patrick L."/>
    </sheetNames>
    <sheetDataSet>
      <sheetData sheetId="0">
        <row r="12">
          <cell r="O12">
            <v>72</v>
          </cell>
          <cell r="P12">
            <v>143</v>
          </cell>
        </row>
        <row r="13">
          <cell r="O13">
            <v>103</v>
          </cell>
          <cell r="P13">
            <v>152</v>
          </cell>
        </row>
        <row r="14">
          <cell r="O14">
            <v>539</v>
          </cell>
          <cell r="P14">
            <v>398</v>
          </cell>
        </row>
        <row r="15">
          <cell r="O15">
            <v>263</v>
          </cell>
          <cell r="P15">
            <v>232</v>
          </cell>
        </row>
        <row r="16">
          <cell r="O16">
            <v>398</v>
          </cell>
          <cell r="P16">
            <v>224</v>
          </cell>
        </row>
        <row r="17">
          <cell r="O17">
            <v>125</v>
          </cell>
          <cell r="P17">
            <v>68</v>
          </cell>
        </row>
        <row r="18">
          <cell r="O18">
            <v>1500</v>
          </cell>
          <cell r="P18">
            <v>1217</v>
          </cell>
        </row>
        <row r="28">
          <cell r="O28">
            <v>652</v>
          </cell>
          <cell r="P28">
            <v>406</v>
          </cell>
        </row>
        <row r="32">
          <cell r="P32">
            <v>330</v>
          </cell>
        </row>
        <row r="33">
          <cell r="P33">
            <v>592</v>
          </cell>
        </row>
        <row r="34">
          <cell r="O34">
            <v>1325</v>
          </cell>
          <cell r="P34">
            <v>922</v>
          </cell>
          <cell r="Q34">
            <v>0.6958490566037736</v>
          </cell>
        </row>
        <row r="36">
          <cell r="O36">
            <v>103</v>
          </cell>
          <cell r="P36">
            <v>57</v>
          </cell>
        </row>
        <row r="37">
          <cell r="O37">
            <v>103</v>
          </cell>
          <cell r="P37">
            <v>6</v>
          </cell>
        </row>
        <row r="38">
          <cell r="O38">
            <v>103</v>
          </cell>
          <cell r="P38">
            <v>14</v>
          </cell>
        </row>
        <row r="39">
          <cell r="O39">
            <v>27.797822269055157</v>
          </cell>
        </row>
        <row r="41">
          <cell r="O41">
            <v>29.161021170610216</v>
          </cell>
        </row>
        <row r="131">
          <cell r="O131">
            <v>7</v>
          </cell>
        </row>
        <row r="132">
          <cell r="O132">
            <v>7</v>
          </cell>
        </row>
        <row r="135">
          <cell r="O135">
            <v>5</v>
          </cell>
        </row>
        <row r="136">
          <cell r="O136">
            <v>42</v>
          </cell>
        </row>
        <row r="140">
          <cell r="O140">
            <v>2</v>
          </cell>
        </row>
      </sheetData>
      <sheetData sheetId="1">
        <row r="12">
          <cell r="O12">
            <v>71</v>
          </cell>
          <cell r="P12">
            <v>144</v>
          </cell>
        </row>
        <row r="13">
          <cell r="O13">
            <v>98</v>
          </cell>
          <cell r="P13">
            <v>140</v>
          </cell>
        </row>
        <row r="14">
          <cell r="O14">
            <v>544</v>
          </cell>
          <cell r="P14">
            <v>392</v>
          </cell>
        </row>
        <row r="15">
          <cell r="O15">
            <v>271</v>
          </cell>
          <cell r="P15">
            <v>224</v>
          </cell>
        </row>
        <row r="16">
          <cell r="O16">
            <v>402</v>
          </cell>
          <cell r="P16">
            <v>228</v>
          </cell>
        </row>
        <row r="17">
          <cell r="O17">
            <v>100</v>
          </cell>
          <cell r="P17">
            <v>157</v>
          </cell>
        </row>
        <row r="18">
          <cell r="O18">
            <v>1486</v>
          </cell>
          <cell r="P18">
            <v>1285</v>
          </cell>
        </row>
        <row r="28">
          <cell r="O28">
            <v>679</v>
          </cell>
          <cell r="P28">
            <v>416</v>
          </cell>
        </row>
        <row r="32">
          <cell r="P32">
            <v>298</v>
          </cell>
        </row>
        <row r="33">
          <cell r="P33">
            <v>553</v>
          </cell>
        </row>
        <row r="34">
          <cell r="O34">
            <v>1239</v>
          </cell>
          <cell r="P34">
            <v>851</v>
          </cell>
          <cell r="Q34">
            <v>0.6868442292171105</v>
          </cell>
        </row>
        <row r="36">
          <cell r="O36">
            <v>176</v>
          </cell>
          <cell r="P36">
            <v>91</v>
          </cell>
        </row>
        <row r="37">
          <cell r="O37">
            <v>176</v>
          </cell>
          <cell r="P37">
            <v>12</v>
          </cell>
        </row>
        <row r="38">
          <cell r="O38">
            <v>176</v>
          </cell>
          <cell r="P38">
            <v>23</v>
          </cell>
        </row>
        <row r="39">
          <cell r="O39">
            <v>28.60871092377941</v>
          </cell>
        </row>
        <row r="41">
          <cell r="O41">
            <v>29.64570361145704</v>
          </cell>
        </row>
        <row r="159">
          <cell r="O159">
            <v>4</v>
          </cell>
        </row>
        <row r="160">
          <cell r="O160">
            <v>10</v>
          </cell>
        </row>
        <row r="163">
          <cell r="O163">
            <v>11</v>
          </cell>
        </row>
        <row r="164">
          <cell r="O164">
            <v>43</v>
          </cell>
        </row>
        <row r="166">
          <cell r="O166">
            <v>2</v>
          </cell>
        </row>
      </sheetData>
      <sheetData sheetId="2">
        <row r="12">
          <cell r="O12">
            <v>70</v>
          </cell>
          <cell r="P12">
            <v>98</v>
          </cell>
        </row>
        <row r="13">
          <cell r="O13">
            <v>94</v>
          </cell>
          <cell r="P13">
            <v>163</v>
          </cell>
        </row>
        <row r="14">
          <cell r="O14">
            <v>531</v>
          </cell>
          <cell r="P14">
            <v>398</v>
          </cell>
        </row>
        <row r="15">
          <cell r="O15">
            <v>268</v>
          </cell>
          <cell r="P15">
            <v>251</v>
          </cell>
        </row>
        <row r="16">
          <cell r="O16">
            <v>359</v>
          </cell>
          <cell r="P16">
            <v>200</v>
          </cell>
        </row>
        <row r="17">
          <cell r="O17">
            <v>128</v>
          </cell>
          <cell r="P17">
            <v>67</v>
          </cell>
        </row>
        <row r="18">
          <cell r="O18">
            <v>1450</v>
          </cell>
          <cell r="P18">
            <v>1177</v>
          </cell>
        </row>
        <row r="28">
          <cell r="O28">
            <v>532</v>
          </cell>
          <cell r="P28">
            <v>419</v>
          </cell>
        </row>
        <row r="32">
          <cell r="P32">
            <v>341</v>
          </cell>
        </row>
        <row r="33">
          <cell r="P33">
            <v>575</v>
          </cell>
        </row>
        <row r="34">
          <cell r="O34">
            <v>1286</v>
          </cell>
          <cell r="P34">
            <v>916</v>
          </cell>
          <cell r="Q34">
            <v>0.7122861586314152</v>
          </cell>
        </row>
        <row r="36">
          <cell r="O36">
            <v>94</v>
          </cell>
          <cell r="P36">
            <v>57</v>
          </cell>
        </row>
        <row r="37">
          <cell r="O37">
            <v>94</v>
          </cell>
          <cell r="P37">
            <v>10</v>
          </cell>
        </row>
        <row r="38">
          <cell r="O38">
            <v>94</v>
          </cell>
          <cell r="P38">
            <v>8</v>
          </cell>
        </row>
        <row r="39">
          <cell r="O39">
            <v>27.744292237442917</v>
          </cell>
        </row>
        <row r="41">
          <cell r="O41">
            <v>28.02316313823163</v>
          </cell>
        </row>
        <row r="134">
          <cell r="O134">
            <v>4</v>
          </cell>
        </row>
        <row r="135">
          <cell r="O135">
            <v>5</v>
          </cell>
        </row>
        <row r="138">
          <cell r="O138">
            <v>1</v>
          </cell>
        </row>
        <row r="139">
          <cell r="O139">
            <v>21</v>
          </cell>
        </row>
      </sheetData>
      <sheetData sheetId="3">
        <row r="12">
          <cell r="O12">
            <v>68</v>
          </cell>
          <cell r="P12">
            <v>103</v>
          </cell>
        </row>
        <row r="13">
          <cell r="O13">
            <v>121</v>
          </cell>
          <cell r="P13">
            <v>183</v>
          </cell>
        </row>
        <row r="14">
          <cell r="O14">
            <v>545</v>
          </cell>
          <cell r="P14">
            <v>434</v>
          </cell>
        </row>
        <row r="15">
          <cell r="O15">
            <v>275</v>
          </cell>
          <cell r="P15">
            <v>212</v>
          </cell>
        </row>
        <row r="16">
          <cell r="O16">
            <v>407</v>
          </cell>
          <cell r="P16">
            <v>199</v>
          </cell>
        </row>
        <row r="17">
          <cell r="O17">
            <v>128</v>
          </cell>
          <cell r="P17">
            <v>56</v>
          </cell>
        </row>
        <row r="18">
          <cell r="O18">
            <v>1544</v>
          </cell>
          <cell r="P18">
            <v>1187</v>
          </cell>
        </row>
        <row r="28">
          <cell r="O28">
            <v>728</v>
          </cell>
          <cell r="P28">
            <v>434</v>
          </cell>
        </row>
        <row r="32">
          <cell r="P32">
            <v>327</v>
          </cell>
        </row>
        <row r="33">
          <cell r="P33">
            <v>574</v>
          </cell>
        </row>
        <row r="34">
          <cell r="O34">
            <v>1355</v>
          </cell>
          <cell r="P34">
            <v>901</v>
          </cell>
          <cell r="Q34">
            <v>0.6649446494464945</v>
          </cell>
        </row>
        <row r="36">
          <cell r="O36">
            <v>121</v>
          </cell>
          <cell r="P36">
            <v>67</v>
          </cell>
        </row>
        <row r="37">
          <cell r="O37">
            <v>121</v>
          </cell>
          <cell r="P37">
            <v>9</v>
          </cell>
        </row>
        <row r="38">
          <cell r="O38">
            <v>121</v>
          </cell>
          <cell r="P38">
            <v>11</v>
          </cell>
        </row>
        <row r="39">
          <cell r="O39">
            <v>28.591289076220583</v>
          </cell>
        </row>
        <row r="41">
          <cell r="O41">
            <v>28.582191780821915</v>
          </cell>
        </row>
        <row r="144">
          <cell r="O144">
            <v>5</v>
          </cell>
        </row>
        <row r="145">
          <cell r="O145">
            <v>6</v>
          </cell>
        </row>
        <row r="148">
          <cell r="O148">
            <v>2</v>
          </cell>
        </row>
        <row r="149">
          <cell r="O149">
            <v>26</v>
          </cell>
        </row>
        <row r="151">
          <cell r="O151">
            <v>2</v>
          </cell>
        </row>
        <row r="154">
          <cell r="O154">
            <v>4</v>
          </cell>
        </row>
      </sheetData>
      <sheetData sheetId="4">
        <row r="12">
          <cell r="O12">
            <v>68</v>
          </cell>
          <cell r="P12">
            <v>81</v>
          </cell>
        </row>
        <row r="13">
          <cell r="O13">
            <v>114</v>
          </cell>
          <cell r="P13">
            <v>155</v>
          </cell>
        </row>
        <row r="14">
          <cell r="O14">
            <v>535</v>
          </cell>
          <cell r="P14">
            <v>439</v>
          </cell>
        </row>
        <row r="15">
          <cell r="O15">
            <v>269</v>
          </cell>
          <cell r="P15">
            <v>249</v>
          </cell>
        </row>
        <row r="16">
          <cell r="O16">
            <v>383</v>
          </cell>
          <cell r="P16">
            <v>181</v>
          </cell>
        </row>
        <row r="17">
          <cell r="O17">
            <v>119</v>
          </cell>
          <cell r="P17">
            <v>55</v>
          </cell>
        </row>
        <row r="18">
          <cell r="O18">
            <v>1488</v>
          </cell>
          <cell r="P18">
            <v>1160</v>
          </cell>
        </row>
        <row r="28">
          <cell r="O28">
            <v>758</v>
          </cell>
          <cell r="P28">
            <v>439</v>
          </cell>
        </row>
        <row r="32">
          <cell r="P32">
            <v>372</v>
          </cell>
        </row>
        <row r="33">
          <cell r="P33">
            <v>552</v>
          </cell>
        </row>
        <row r="34">
          <cell r="O34">
            <v>1305</v>
          </cell>
          <cell r="P34">
            <v>924</v>
          </cell>
          <cell r="Q34">
            <v>0.7080459770114943</v>
          </cell>
        </row>
        <row r="36">
          <cell r="O36">
            <v>115</v>
          </cell>
          <cell r="P36">
            <v>54</v>
          </cell>
        </row>
        <row r="37">
          <cell r="O37">
            <v>115</v>
          </cell>
          <cell r="P37">
            <v>9</v>
          </cell>
        </row>
        <row r="38">
          <cell r="O38">
            <v>115</v>
          </cell>
          <cell r="P38">
            <v>8</v>
          </cell>
        </row>
        <row r="39">
          <cell r="O39">
            <v>25.389954337899546</v>
          </cell>
        </row>
        <row r="41">
          <cell r="O41">
            <v>25.730386052303857</v>
          </cell>
        </row>
        <row r="130">
          <cell r="O130">
            <v>13</v>
          </cell>
        </row>
        <row r="133">
          <cell r="O133">
            <v>6</v>
          </cell>
        </row>
        <row r="134">
          <cell r="O134">
            <v>39</v>
          </cell>
        </row>
        <row r="135">
          <cell r="O135">
            <v>1</v>
          </cell>
        </row>
        <row r="136">
          <cell r="O136">
            <v>1</v>
          </cell>
        </row>
        <row r="138">
          <cell r="O138">
            <v>2</v>
          </cell>
        </row>
        <row r="139">
          <cell r="O139">
            <v>2</v>
          </cell>
        </row>
      </sheetData>
      <sheetData sheetId="5">
        <row r="12">
          <cell r="O12">
            <v>66</v>
          </cell>
          <cell r="P12">
            <v>125</v>
          </cell>
        </row>
        <row r="13">
          <cell r="O13">
            <v>100</v>
          </cell>
          <cell r="P13">
            <v>142</v>
          </cell>
        </row>
        <row r="14">
          <cell r="O14">
            <v>526</v>
          </cell>
          <cell r="P14">
            <v>368</v>
          </cell>
        </row>
        <row r="15">
          <cell r="O15">
            <v>269</v>
          </cell>
          <cell r="P15">
            <v>216</v>
          </cell>
        </row>
        <row r="16">
          <cell r="O16">
            <v>385</v>
          </cell>
          <cell r="P16">
            <v>213</v>
          </cell>
        </row>
        <row r="17">
          <cell r="O17">
            <v>108</v>
          </cell>
          <cell r="P17">
            <v>32</v>
          </cell>
        </row>
        <row r="18">
          <cell r="O18">
            <v>1454</v>
          </cell>
          <cell r="P18">
            <v>1096</v>
          </cell>
        </row>
        <row r="28">
          <cell r="O28">
            <v>669</v>
          </cell>
          <cell r="P28">
            <v>427</v>
          </cell>
        </row>
        <row r="32">
          <cell r="P32">
            <v>279</v>
          </cell>
        </row>
        <row r="33">
          <cell r="P33">
            <v>550</v>
          </cell>
        </row>
        <row r="34">
          <cell r="O34">
            <v>1288</v>
          </cell>
          <cell r="P34">
            <v>829</v>
          </cell>
          <cell r="Q34">
            <v>0.6436335403726708</v>
          </cell>
        </row>
        <row r="36">
          <cell r="O36">
            <v>100</v>
          </cell>
          <cell r="P36">
            <v>48</v>
          </cell>
        </row>
        <row r="37">
          <cell r="O37">
            <v>100</v>
          </cell>
          <cell r="P37">
            <v>7</v>
          </cell>
        </row>
        <row r="38">
          <cell r="O38">
            <v>100</v>
          </cell>
          <cell r="P38">
            <v>15</v>
          </cell>
        </row>
        <row r="39">
          <cell r="O39">
            <v>27.298559887600984</v>
          </cell>
        </row>
        <row r="41">
          <cell r="O41">
            <v>28.969987546699873</v>
          </cell>
        </row>
        <row r="152">
          <cell r="O152">
            <v>4</v>
          </cell>
        </row>
        <row r="153">
          <cell r="O153">
            <v>7</v>
          </cell>
        </row>
        <row r="156">
          <cell r="O156">
            <v>4</v>
          </cell>
        </row>
        <row r="157">
          <cell r="O157">
            <v>26</v>
          </cell>
        </row>
        <row r="159">
          <cell r="O159">
            <v>2</v>
          </cell>
        </row>
        <row r="161">
          <cell r="O161">
            <v>4</v>
          </cell>
        </row>
      </sheetData>
      <sheetData sheetId="6">
        <row r="12">
          <cell r="O12">
            <v>67</v>
          </cell>
          <cell r="P12">
            <v>78</v>
          </cell>
        </row>
        <row r="13">
          <cell r="O13">
            <v>108</v>
          </cell>
          <cell r="P13">
            <v>134</v>
          </cell>
        </row>
        <row r="14">
          <cell r="O14">
            <v>519</v>
          </cell>
          <cell r="P14">
            <v>441</v>
          </cell>
        </row>
        <row r="15">
          <cell r="O15">
            <v>270</v>
          </cell>
          <cell r="P15">
            <v>221</v>
          </cell>
        </row>
        <row r="16">
          <cell r="O16">
            <v>398</v>
          </cell>
          <cell r="P16">
            <v>161</v>
          </cell>
        </row>
        <row r="17">
          <cell r="O17">
            <v>102</v>
          </cell>
          <cell r="P17">
            <v>78</v>
          </cell>
        </row>
        <row r="18">
          <cell r="O18">
            <v>1464</v>
          </cell>
          <cell r="P18">
            <v>1113</v>
          </cell>
        </row>
        <row r="28">
          <cell r="O28">
            <v>716</v>
          </cell>
          <cell r="P28">
            <v>417</v>
          </cell>
        </row>
        <row r="32">
          <cell r="P32">
            <v>319</v>
          </cell>
        </row>
        <row r="33">
          <cell r="P33">
            <v>520</v>
          </cell>
        </row>
        <row r="34">
          <cell r="O34">
            <v>1232</v>
          </cell>
          <cell r="P34">
            <v>839</v>
          </cell>
          <cell r="Q34">
            <v>0.6810064935064936</v>
          </cell>
        </row>
        <row r="36">
          <cell r="O36">
            <v>165</v>
          </cell>
          <cell r="P36">
            <v>80</v>
          </cell>
        </row>
        <row r="37">
          <cell r="O37">
            <v>165</v>
          </cell>
          <cell r="P37">
            <v>4</v>
          </cell>
        </row>
        <row r="38">
          <cell r="O38">
            <v>165</v>
          </cell>
          <cell r="P38">
            <v>14</v>
          </cell>
        </row>
        <row r="39">
          <cell r="O39" t="e">
            <v>#REF!</v>
          </cell>
        </row>
        <row r="41">
          <cell r="O41" t="e">
            <v>#REF!</v>
          </cell>
        </row>
        <row r="167">
          <cell r="O167">
            <v>6</v>
          </cell>
        </row>
        <row r="168">
          <cell r="O168">
            <v>9</v>
          </cell>
        </row>
        <row r="171">
          <cell r="O171">
            <v>3</v>
          </cell>
        </row>
        <row r="172">
          <cell r="O172">
            <v>39</v>
          </cell>
        </row>
        <row r="176">
          <cell r="O176">
            <v>4</v>
          </cell>
        </row>
      </sheetData>
      <sheetData sheetId="7">
        <row r="12">
          <cell r="O12">
            <v>69</v>
          </cell>
          <cell r="P12">
            <v>84</v>
          </cell>
        </row>
        <row r="13">
          <cell r="O13">
            <v>112</v>
          </cell>
          <cell r="P13">
            <v>165</v>
          </cell>
        </row>
        <row r="14">
          <cell r="O14">
            <v>511</v>
          </cell>
          <cell r="P14">
            <v>346</v>
          </cell>
        </row>
        <row r="15">
          <cell r="O15">
            <v>275</v>
          </cell>
          <cell r="P15">
            <v>278</v>
          </cell>
        </row>
        <row r="16">
          <cell r="O16">
            <v>371</v>
          </cell>
          <cell r="P16">
            <v>173</v>
          </cell>
        </row>
        <row r="17">
          <cell r="O17">
            <v>106</v>
          </cell>
          <cell r="P17">
            <v>36</v>
          </cell>
        </row>
        <row r="18">
          <cell r="O18">
            <v>1444</v>
          </cell>
          <cell r="P18">
            <v>1082</v>
          </cell>
        </row>
        <row r="28">
          <cell r="O28">
            <v>666</v>
          </cell>
          <cell r="P28">
            <v>373</v>
          </cell>
        </row>
        <row r="32">
          <cell r="P32">
            <v>319</v>
          </cell>
        </row>
        <row r="33">
          <cell r="P33">
            <v>514</v>
          </cell>
        </row>
        <row r="34">
          <cell r="O34">
            <v>1263</v>
          </cell>
          <cell r="P34">
            <v>833</v>
          </cell>
          <cell r="Q34">
            <v>0.6595407759303247</v>
          </cell>
        </row>
        <row r="36">
          <cell r="O36">
            <v>112</v>
          </cell>
          <cell r="P36">
            <v>61</v>
          </cell>
        </row>
        <row r="37">
          <cell r="O37">
            <v>112</v>
          </cell>
          <cell r="P37">
            <v>8</v>
          </cell>
        </row>
        <row r="38">
          <cell r="O38">
            <v>112</v>
          </cell>
          <cell r="P38">
            <v>10</v>
          </cell>
        </row>
        <row r="39">
          <cell r="O39">
            <v>27.525184404636466</v>
          </cell>
        </row>
        <row r="41">
          <cell r="O41">
            <v>27.044084682440847</v>
          </cell>
        </row>
        <row r="108">
          <cell r="O108">
            <v>1</v>
          </cell>
        </row>
        <row r="109">
          <cell r="O109">
            <v>4</v>
          </cell>
        </row>
        <row r="113">
          <cell r="O113">
            <v>43</v>
          </cell>
        </row>
        <row r="117">
          <cell r="O117">
            <v>1</v>
          </cell>
        </row>
      </sheetData>
      <sheetData sheetId="8">
        <row r="12">
          <cell r="O12">
            <v>68</v>
          </cell>
          <cell r="P12">
            <v>144</v>
          </cell>
        </row>
        <row r="13">
          <cell r="O13">
            <v>105</v>
          </cell>
          <cell r="P13">
            <v>123</v>
          </cell>
        </row>
        <row r="14">
          <cell r="O14">
            <v>505</v>
          </cell>
          <cell r="P14">
            <v>316</v>
          </cell>
        </row>
        <row r="15">
          <cell r="O15">
            <v>254</v>
          </cell>
          <cell r="P15">
            <v>213</v>
          </cell>
        </row>
        <row r="16">
          <cell r="O16">
            <v>383</v>
          </cell>
          <cell r="P16">
            <v>165</v>
          </cell>
        </row>
        <row r="17">
          <cell r="O17">
            <v>71</v>
          </cell>
          <cell r="P17">
            <v>32</v>
          </cell>
        </row>
        <row r="18">
          <cell r="O18">
            <v>1386</v>
          </cell>
          <cell r="P18">
            <v>993</v>
          </cell>
        </row>
        <row r="28">
          <cell r="O28">
            <v>878</v>
          </cell>
          <cell r="P28">
            <v>473</v>
          </cell>
        </row>
        <row r="32">
          <cell r="P32">
            <v>282</v>
          </cell>
        </row>
        <row r="33">
          <cell r="P33">
            <v>444</v>
          </cell>
        </row>
        <row r="34">
          <cell r="O34">
            <v>1213</v>
          </cell>
          <cell r="P34">
            <v>726</v>
          </cell>
          <cell r="Q34">
            <v>0.5985160758450123</v>
          </cell>
        </row>
        <row r="36">
          <cell r="O36">
            <v>105</v>
          </cell>
          <cell r="P36">
            <v>47</v>
          </cell>
        </row>
        <row r="37">
          <cell r="O37">
            <v>105</v>
          </cell>
          <cell r="P37">
            <v>2</v>
          </cell>
        </row>
        <row r="38">
          <cell r="O38">
            <v>105</v>
          </cell>
          <cell r="P38">
            <v>17</v>
          </cell>
        </row>
        <row r="39">
          <cell r="O39">
            <v>29.542184755883383</v>
          </cell>
        </row>
        <row r="41">
          <cell r="O41">
            <v>29.23200498132005</v>
          </cell>
        </row>
        <row r="135">
          <cell r="O135">
            <v>3</v>
          </cell>
        </row>
        <row r="136">
          <cell r="O136">
            <v>9</v>
          </cell>
        </row>
        <row r="139">
          <cell r="O139">
            <v>4</v>
          </cell>
        </row>
        <row r="140">
          <cell r="O140">
            <v>4</v>
          </cell>
        </row>
        <row r="144">
          <cell r="O144">
            <v>1</v>
          </cell>
        </row>
      </sheetData>
      <sheetData sheetId="9">
        <row r="12">
          <cell r="O12">
            <v>67</v>
          </cell>
          <cell r="P12">
            <v>75</v>
          </cell>
        </row>
        <row r="13">
          <cell r="O13">
            <v>81</v>
          </cell>
          <cell r="P13">
            <v>108</v>
          </cell>
        </row>
        <row r="14">
          <cell r="O14">
            <v>524</v>
          </cell>
          <cell r="P14">
            <v>382</v>
          </cell>
        </row>
        <row r="15">
          <cell r="O15">
            <v>270</v>
          </cell>
          <cell r="P15">
            <v>231</v>
          </cell>
        </row>
        <row r="16">
          <cell r="O16">
            <v>395</v>
          </cell>
          <cell r="P16">
            <v>189</v>
          </cell>
        </row>
        <row r="17">
          <cell r="O17">
            <v>127</v>
          </cell>
          <cell r="P17">
            <v>57</v>
          </cell>
        </row>
        <row r="18">
          <cell r="O18">
            <v>1464</v>
          </cell>
          <cell r="P18">
            <v>1042</v>
          </cell>
        </row>
        <row r="28">
          <cell r="O28">
            <v>835</v>
          </cell>
          <cell r="P28">
            <v>403</v>
          </cell>
        </row>
        <row r="32">
          <cell r="P32">
            <v>340</v>
          </cell>
        </row>
        <row r="33">
          <cell r="P33">
            <v>519</v>
          </cell>
        </row>
        <row r="34">
          <cell r="O34">
            <v>1316</v>
          </cell>
          <cell r="P34">
            <v>859</v>
          </cell>
          <cell r="Q34">
            <v>0.6527355623100304</v>
          </cell>
        </row>
        <row r="36">
          <cell r="O36">
            <v>81</v>
          </cell>
          <cell r="P36">
            <v>37</v>
          </cell>
        </row>
        <row r="37">
          <cell r="O37">
            <v>81</v>
          </cell>
          <cell r="P37">
            <v>4</v>
          </cell>
        </row>
        <row r="38">
          <cell r="O38">
            <v>81</v>
          </cell>
          <cell r="P38">
            <v>16</v>
          </cell>
        </row>
        <row r="39">
          <cell r="O39" t="e">
            <v>#REF!</v>
          </cell>
        </row>
        <row r="41">
          <cell r="O41" t="e">
            <v>#REF!</v>
          </cell>
        </row>
        <row r="158">
          <cell r="O158">
            <v>3</v>
          </cell>
        </row>
        <row r="159">
          <cell r="O159">
            <v>12</v>
          </cell>
        </row>
        <row r="162">
          <cell r="O162">
            <v>6</v>
          </cell>
        </row>
        <row r="163">
          <cell r="O163">
            <v>34</v>
          </cell>
        </row>
        <row r="167">
          <cell r="O16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7:Y5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421875" style="0" customWidth="1"/>
    <col min="2" max="2" width="14.7109375" style="0" customWidth="1"/>
    <col min="3" max="3" width="7.7109375" style="0" customWidth="1"/>
    <col min="4" max="4" width="7.140625" style="0" customWidth="1"/>
    <col min="5" max="10" width="5.7109375" style="0" customWidth="1"/>
    <col min="11" max="11" width="7.28125" style="0" customWidth="1"/>
    <col min="12" max="13" width="5.7109375" style="0" customWidth="1"/>
    <col min="14" max="14" width="7.57421875" style="0" customWidth="1"/>
    <col min="15" max="15" width="6.8515625" style="0" customWidth="1"/>
    <col min="16" max="17" width="5.7109375" style="0" customWidth="1"/>
    <col min="18" max="18" width="5.8515625" style="0" customWidth="1"/>
  </cols>
  <sheetData>
    <row r="6" ht="13.5" thickBot="1"/>
    <row r="7" spans="1:17" ht="28.5" customHeight="1">
      <c r="A7" s="130" t="s">
        <v>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1:17" ht="12.75">
      <c r="A8" s="1"/>
      <c r="B8" s="1"/>
      <c r="C8" s="1"/>
      <c r="D8" s="1"/>
      <c r="E8" s="121" t="s">
        <v>1</v>
      </c>
      <c r="F8" s="121"/>
      <c r="G8" s="121"/>
      <c r="H8" s="121"/>
      <c r="I8" s="121"/>
      <c r="J8" s="121"/>
      <c r="K8" s="2"/>
      <c r="L8" s="3"/>
      <c r="M8" s="3"/>
      <c r="N8" s="3"/>
      <c r="O8" s="3"/>
      <c r="P8" s="3"/>
      <c r="Q8" s="3"/>
    </row>
    <row r="9" spans="1:18" ht="65.25" thickBot="1">
      <c r="A9" s="45" t="s">
        <v>2</v>
      </c>
      <c r="B9" s="45" t="s">
        <v>3</v>
      </c>
      <c r="C9" s="46" t="s">
        <v>1</v>
      </c>
      <c r="D9" s="37" t="s">
        <v>4</v>
      </c>
      <c r="E9" s="42" t="s">
        <v>5</v>
      </c>
      <c r="F9" s="42" t="s">
        <v>6</v>
      </c>
      <c r="G9" s="42" t="s">
        <v>7</v>
      </c>
      <c r="H9" s="42" t="s">
        <v>8</v>
      </c>
      <c r="I9" s="42" t="s">
        <v>9</v>
      </c>
      <c r="J9" s="42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47" t="s">
        <v>15</v>
      </c>
      <c r="P9" s="47" t="s">
        <v>16</v>
      </c>
      <c r="Q9" s="48" t="s">
        <v>17</v>
      </c>
      <c r="R9" s="140" t="s">
        <v>74</v>
      </c>
    </row>
    <row r="10" spans="1:25" ht="12.75">
      <c r="A10" s="23" t="s">
        <v>18</v>
      </c>
      <c r="B10" s="19" t="s">
        <v>50</v>
      </c>
      <c r="C10" s="25">
        <f>'[1]Sylvain'!$P$18</f>
        <v>1285</v>
      </c>
      <c r="D10" s="26">
        <f>'[1]Sylvain'!$O$18</f>
        <v>1486</v>
      </c>
      <c r="E10" s="26">
        <f>'[1]Sylvain'!$P$12</f>
        <v>144</v>
      </c>
      <c r="F10" s="26">
        <f>'[1]Sylvain'!$P$13</f>
        <v>140</v>
      </c>
      <c r="G10" s="26">
        <f>'[1]Sylvain'!$P$14</f>
        <v>392</v>
      </c>
      <c r="H10" s="26">
        <f>'[1]Sylvain'!$P$15</f>
        <v>224</v>
      </c>
      <c r="I10" s="26">
        <f>'[1]Sylvain'!$P$16</f>
        <v>228</v>
      </c>
      <c r="J10" s="26">
        <f>'[1]Sylvain'!$P$17</f>
        <v>157</v>
      </c>
      <c r="K10" s="26">
        <f>'[1]Sylvain'!$O$34</f>
        <v>1239</v>
      </c>
      <c r="L10" s="26">
        <f>'[1]Sylvain'!$P$32</f>
        <v>298</v>
      </c>
      <c r="M10" s="26">
        <f>'[1]Sylvain'!$P$33</f>
        <v>553</v>
      </c>
      <c r="N10" s="26">
        <f>L10+M10</f>
        <v>851</v>
      </c>
      <c r="O10" s="27">
        <f>N10/K10</f>
        <v>0.6868442292171105</v>
      </c>
      <c r="P10" s="26">
        <v>37</v>
      </c>
      <c r="Q10" s="28" t="s">
        <v>19</v>
      </c>
      <c r="R10" s="140"/>
      <c r="X10" s="136">
        <f ca="1">TODAY()</f>
        <v>39885</v>
      </c>
      <c r="Y10" s="137"/>
    </row>
    <row r="11" spans="1:25" ht="12.75">
      <c r="A11" s="4" t="s">
        <v>20</v>
      </c>
      <c r="B11" s="19" t="s">
        <v>32</v>
      </c>
      <c r="C11" s="5">
        <f>'[1]Patrick B.'!$P$18</f>
        <v>1217</v>
      </c>
      <c r="D11" s="6">
        <f>'[1]Patrick B.'!$O$18</f>
        <v>1500</v>
      </c>
      <c r="E11" s="6">
        <f>'[1]Patrick B.'!$P$12</f>
        <v>143</v>
      </c>
      <c r="F11" s="6">
        <f>'[1]Patrick B.'!$P$13</f>
        <v>152</v>
      </c>
      <c r="G11" s="6">
        <f>'[1]Patrick B.'!$P$14</f>
        <v>398</v>
      </c>
      <c r="H11" s="6">
        <f>'[1]Patrick B.'!$P$15</f>
        <v>232</v>
      </c>
      <c r="I11" s="6">
        <f>'[1]Patrick B.'!$P$16</f>
        <v>224</v>
      </c>
      <c r="J11" s="6">
        <f>'[1]Patrick B.'!$P$17</f>
        <v>68</v>
      </c>
      <c r="K11" s="6">
        <f>'[1]Patrick B.'!$O$34</f>
        <v>1325</v>
      </c>
      <c r="L11" s="6">
        <f>'[1]Patrick B.'!$P$32</f>
        <v>330</v>
      </c>
      <c r="M11" s="6">
        <f>'[1]Patrick B.'!$P$33</f>
        <v>592</v>
      </c>
      <c r="N11" s="6">
        <f>L11+M11</f>
        <v>922</v>
      </c>
      <c r="O11" s="7">
        <f>N11/K11</f>
        <v>0.6958490566037736</v>
      </c>
      <c r="P11" s="6">
        <v>99</v>
      </c>
      <c r="Q11" s="8">
        <f>C11-$C$10</f>
        <v>-68</v>
      </c>
      <c r="R11" s="140"/>
      <c r="X11" s="138">
        <v>39725</v>
      </c>
      <c r="Y11" s="139"/>
    </row>
    <row r="12" spans="1:18" ht="12.75">
      <c r="A12" s="4" t="s">
        <v>21</v>
      </c>
      <c r="B12" s="19" t="s">
        <v>46</v>
      </c>
      <c r="C12" s="5">
        <f>'[1]Johnny'!$P$18</f>
        <v>1187</v>
      </c>
      <c r="D12" s="6">
        <f>'[1]Johnny'!$O$18</f>
        <v>1544</v>
      </c>
      <c r="E12" s="6">
        <f>'[1]Johnny'!$P$12</f>
        <v>103</v>
      </c>
      <c r="F12" s="6">
        <f>'[1]Johnny'!$P$13</f>
        <v>183</v>
      </c>
      <c r="G12" s="6">
        <f>'[1]Johnny'!$P$14</f>
        <v>434</v>
      </c>
      <c r="H12" s="6">
        <f>'[1]Johnny'!$P$15</f>
        <v>212</v>
      </c>
      <c r="I12" s="6">
        <f>'[1]Johnny'!$P$16</f>
        <v>199</v>
      </c>
      <c r="J12" s="6">
        <f>'[1]Johnny'!$P$17</f>
        <v>56</v>
      </c>
      <c r="K12" s="6">
        <f>'[1]Johnny'!$O$34</f>
        <v>1355</v>
      </c>
      <c r="L12" s="6">
        <f>'[1]Johnny'!$P$32</f>
        <v>327</v>
      </c>
      <c r="M12" s="6">
        <f>'[1]Johnny'!$P$33</f>
        <v>574</v>
      </c>
      <c r="N12" s="6">
        <f>L12+M12</f>
        <v>901</v>
      </c>
      <c r="O12" s="7">
        <f>N12/K12</f>
        <v>0.6649446494464945</v>
      </c>
      <c r="P12" s="6">
        <v>0</v>
      </c>
      <c r="Q12" s="8">
        <f aca="true" t="shared" si="0" ref="Q12:Q19">C12-$C$10</f>
        <v>-98</v>
      </c>
      <c r="R12" s="140"/>
    </row>
    <row r="13" spans="1:18" ht="12.75">
      <c r="A13" s="4" t="s">
        <v>22</v>
      </c>
      <c r="B13" s="19" t="s">
        <v>52</v>
      </c>
      <c r="C13" s="5">
        <f>'[1]Hugo'!$P$18</f>
        <v>1177</v>
      </c>
      <c r="D13" s="6">
        <f>'[1]Hugo'!$O$18</f>
        <v>1450</v>
      </c>
      <c r="E13" s="6">
        <f>'[1]Hugo'!$P$12</f>
        <v>98</v>
      </c>
      <c r="F13" s="6">
        <f>'[1]Hugo'!$P$13</f>
        <v>163</v>
      </c>
      <c r="G13" s="6">
        <f>'[1]Hugo'!$P$14</f>
        <v>398</v>
      </c>
      <c r="H13" s="6">
        <f>'[1]Hugo'!$P$15</f>
        <v>251</v>
      </c>
      <c r="I13" s="6">
        <f>'[1]Hugo'!$P$16</f>
        <v>200</v>
      </c>
      <c r="J13" s="6">
        <f>'[1]Hugo'!$P$17</f>
        <v>67</v>
      </c>
      <c r="K13" s="6">
        <f>'[1]Hugo'!$O$34</f>
        <v>1286</v>
      </c>
      <c r="L13" s="6">
        <f>'[1]Hugo'!$P$32</f>
        <v>341</v>
      </c>
      <c r="M13" s="6">
        <f>'[1]Hugo'!$P$33</f>
        <v>575</v>
      </c>
      <c r="N13" s="6">
        <f>L13+M13</f>
        <v>916</v>
      </c>
      <c r="O13" s="7">
        <f>N13/K13</f>
        <v>0.7122861586314152</v>
      </c>
      <c r="P13" s="6">
        <v>0</v>
      </c>
      <c r="Q13" s="8">
        <f t="shared" si="0"/>
        <v>-108</v>
      </c>
      <c r="R13" s="140"/>
    </row>
    <row r="14" spans="1:18" ht="12.75">
      <c r="A14" s="4" t="s">
        <v>23</v>
      </c>
      <c r="B14" s="19" t="s">
        <v>49</v>
      </c>
      <c r="C14" s="5">
        <f>'[1]Gilles'!$P$18</f>
        <v>1160</v>
      </c>
      <c r="D14" s="6">
        <f>'[1]Gilles'!$O$18</f>
        <v>1488</v>
      </c>
      <c r="E14" s="6">
        <f>'[1]Gilles'!$P$12</f>
        <v>81</v>
      </c>
      <c r="F14" s="6">
        <f>'[1]Gilles'!$P$13</f>
        <v>155</v>
      </c>
      <c r="G14" s="6">
        <f>'[1]Gilles'!$P$14</f>
        <v>439</v>
      </c>
      <c r="H14" s="6">
        <f>'[1]Gilles'!$P$15</f>
        <v>249</v>
      </c>
      <c r="I14" s="6">
        <f>'[1]Gilles'!$P$16</f>
        <v>181</v>
      </c>
      <c r="J14" s="6">
        <f>'[1]Gilles'!$P$17</f>
        <v>55</v>
      </c>
      <c r="K14" s="6">
        <f>'[1]Gilles'!$O$34</f>
        <v>1305</v>
      </c>
      <c r="L14" s="6">
        <f>'[1]Gilles'!$P$32</f>
        <v>372</v>
      </c>
      <c r="M14" s="6">
        <f>'[1]Gilles'!$P$33</f>
        <v>552</v>
      </c>
      <c r="N14" s="6">
        <f>L14+M14</f>
        <v>924</v>
      </c>
      <c r="O14" s="7">
        <f>N14/K14</f>
        <v>0.7080459770114943</v>
      </c>
      <c r="P14" s="6">
        <v>0</v>
      </c>
      <c r="Q14" s="8">
        <f t="shared" si="0"/>
        <v>-125</v>
      </c>
      <c r="R14" s="140"/>
    </row>
    <row r="15" spans="1:18" ht="12.75">
      <c r="A15" s="4" t="s">
        <v>24</v>
      </c>
      <c r="B15" s="19" t="s">
        <v>47</v>
      </c>
      <c r="C15" s="5">
        <f>'[1]Jonathan'!$P$18</f>
        <v>1113</v>
      </c>
      <c r="D15" s="6">
        <f>'[1]Jonathan'!$O$18</f>
        <v>1464</v>
      </c>
      <c r="E15" s="6">
        <f>'[1]Jonathan'!$P$12</f>
        <v>78</v>
      </c>
      <c r="F15" s="6">
        <f>'[1]Jonathan'!$P$13</f>
        <v>134</v>
      </c>
      <c r="G15" s="6">
        <f>'[1]Jonathan'!$P$14</f>
        <v>441</v>
      </c>
      <c r="H15" s="6">
        <f>'[1]Jonathan'!$P$15</f>
        <v>221</v>
      </c>
      <c r="I15" s="6">
        <f>'[1]Jonathan'!$P$16</f>
        <v>161</v>
      </c>
      <c r="J15" s="6">
        <f>'[1]Jonathan'!$P$17</f>
        <v>78</v>
      </c>
      <c r="K15" s="6">
        <f>'[1]Jonathan'!$O$34</f>
        <v>1232</v>
      </c>
      <c r="L15" s="6">
        <f>'[1]Jonathan'!$P$32</f>
        <v>319</v>
      </c>
      <c r="M15" s="6">
        <f>'[1]Jonathan'!$P$33</f>
        <v>520</v>
      </c>
      <c r="N15" s="6">
        <f>L15+M15</f>
        <v>839</v>
      </c>
      <c r="O15" s="7">
        <f>N15/K15</f>
        <v>0.6810064935064936</v>
      </c>
      <c r="P15" s="6">
        <v>6</v>
      </c>
      <c r="Q15" s="8">
        <f t="shared" si="0"/>
        <v>-172</v>
      </c>
      <c r="R15" s="140"/>
    </row>
    <row r="16" spans="1:18" ht="13.5" thickBot="1">
      <c r="A16" s="69" t="s">
        <v>25</v>
      </c>
      <c r="B16" s="70" t="s">
        <v>53</v>
      </c>
      <c r="C16" s="71">
        <f>'[1]Maxime'!$P$18</f>
        <v>1096</v>
      </c>
      <c r="D16" s="72">
        <f>'[1]Maxime'!$O$18</f>
        <v>1454</v>
      </c>
      <c r="E16" s="72">
        <f>'[1]Maxime'!$P$12</f>
        <v>125</v>
      </c>
      <c r="F16" s="72">
        <f>'[1]Maxime'!$P$13</f>
        <v>142</v>
      </c>
      <c r="G16" s="72">
        <f>'[1]Maxime'!$P$14</f>
        <v>368</v>
      </c>
      <c r="H16" s="72">
        <f>'[1]Maxime'!$P$15</f>
        <v>216</v>
      </c>
      <c r="I16" s="72">
        <f>'[1]Maxime'!$P$16</f>
        <v>213</v>
      </c>
      <c r="J16" s="72">
        <f>'[1]Maxime'!$P$17</f>
        <v>32</v>
      </c>
      <c r="K16" s="72">
        <f>'[1]Maxime'!$O$34</f>
        <v>1288</v>
      </c>
      <c r="L16" s="72">
        <f>'[1]Maxime'!$P$32</f>
        <v>279</v>
      </c>
      <c r="M16" s="72">
        <f>'[1]Maxime'!$P$33</f>
        <v>550</v>
      </c>
      <c r="N16" s="72">
        <f>L16+M16</f>
        <v>829</v>
      </c>
      <c r="O16" s="73">
        <f>N16/K16</f>
        <v>0.6436335403726708</v>
      </c>
      <c r="P16" s="72">
        <v>3</v>
      </c>
      <c r="Q16" s="74">
        <f t="shared" si="0"/>
        <v>-189</v>
      </c>
      <c r="R16" s="67" t="s">
        <v>19</v>
      </c>
    </row>
    <row r="17" spans="1:18" ht="12.75">
      <c r="A17" s="23" t="s">
        <v>26</v>
      </c>
      <c r="B17" s="24" t="s">
        <v>51</v>
      </c>
      <c r="C17" s="25">
        <f>'[1]Phil'!$P$18</f>
        <v>1082</v>
      </c>
      <c r="D17" s="26">
        <f>'[1]Phil'!$O$18</f>
        <v>1444</v>
      </c>
      <c r="E17" s="26">
        <f>'[1]Phil'!$P$12</f>
        <v>84</v>
      </c>
      <c r="F17" s="26">
        <f>'[1]Phil'!$P$13</f>
        <v>165</v>
      </c>
      <c r="G17" s="26">
        <f>'[1]Phil'!$P$14</f>
        <v>346</v>
      </c>
      <c r="H17" s="26">
        <f>'[1]Phil'!$P$15</f>
        <v>278</v>
      </c>
      <c r="I17" s="26">
        <f>'[1]Phil'!$P$16</f>
        <v>173</v>
      </c>
      <c r="J17" s="26">
        <f>'[1]Phil'!$P$17</f>
        <v>36</v>
      </c>
      <c r="K17" s="26">
        <f>'[1]Phil'!$O$34</f>
        <v>1263</v>
      </c>
      <c r="L17" s="26">
        <f>'[1]Phil'!$P$32</f>
        <v>319</v>
      </c>
      <c r="M17" s="26">
        <f>'[1]Phil'!$P$33</f>
        <v>514</v>
      </c>
      <c r="N17" s="26">
        <f>L17+M17</f>
        <v>833</v>
      </c>
      <c r="O17" s="27">
        <f>N17/K17</f>
        <v>0.6595407759303247</v>
      </c>
      <c r="P17" s="26">
        <v>1</v>
      </c>
      <c r="Q17" s="65">
        <f t="shared" si="0"/>
        <v>-203</v>
      </c>
      <c r="R17" s="68">
        <f>C17-$C$16</f>
        <v>-14</v>
      </c>
    </row>
    <row r="18" spans="1:18" ht="12.75">
      <c r="A18" s="4" t="s">
        <v>27</v>
      </c>
      <c r="B18" s="19" t="s">
        <v>48</v>
      </c>
      <c r="C18" s="5">
        <f>'[1]Patrick L.'!$P$18</f>
        <v>1042</v>
      </c>
      <c r="D18" s="6">
        <f>'[1]Patrick L.'!$O$18</f>
        <v>1464</v>
      </c>
      <c r="E18" s="6">
        <f>'[1]Patrick L.'!$P$12</f>
        <v>75</v>
      </c>
      <c r="F18" s="6">
        <f>'[1]Patrick L.'!$P$13</f>
        <v>108</v>
      </c>
      <c r="G18" s="6">
        <f>'[1]Patrick L.'!$P$14</f>
        <v>382</v>
      </c>
      <c r="H18" s="6">
        <f>'[1]Patrick L.'!$P$15</f>
        <v>231</v>
      </c>
      <c r="I18" s="6">
        <f>'[1]Patrick L.'!$P$16</f>
        <v>189</v>
      </c>
      <c r="J18" s="6">
        <f>'[1]Patrick L.'!$P$17</f>
        <v>57</v>
      </c>
      <c r="K18" s="6">
        <f>'[1]Patrick L.'!$O$34</f>
        <v>1316</v>
      </c>
      <c r="L18" s="6">
        <f>'[1]Patrick L.'!$P$32</f>
        <v>340</v>
      </c>
      <c r="M18" s="6">
        <f>'[1]Patrick L.'!$P$33</f>
        <v>519</v>
      </c>
      <c r="N18" s="6">
        <f>L18+M18</f>
        <v>859</v>
      </c>
      <c r="O18" s="7">
        <f>N18/K18</f>
        <v>0.6527355623100304</v>
      </c>
      <c r="P18" s="6">
        <v>14</v>
      </c>
      <c r="Q18" s="66">
        <f t="shared" si="0"/>
        <v>-243</v>
      </c>
      <c r="R18" s="68">
        <f>C18-$C$16</f>
        <v>-54</v>
      </c>
    </row>
    <row r="19" spans="1:18" ht="13.5" thickBot="1">
      <c r="A19" s="4" t="s">
        <v>28</v>
      </c>
      <c r="B19" s="19" t="s">
        <v>72</v>
      </c>
      <c r="C19" s="5">
        <f>'[1]Gaetan'!$P$18</f>
        <v>993</v>
      </c>
      <c r="D19" s="6">
        <f>'[1]Gaetan'!$O$18</f>
        <v>1386</v>
      </c>
      <c r="E19" s="6">
        <f>'[1]Gaetan'!$P$12</f>
        <v>144</v>
      </c>
      <c r="F19" s="6">
        <f>'[1]Gaetan'!$P$13</f>
        <v>123</v>
      </c>
      <c r="G19" s="6">
        <f>'[1]Gaetan'!$P$14</f>
        <v>316</v>
      </c>
      <c r="H19" s="6">
        <f>'[1]Gaetan'!$P$15</f>
        <v>213</v>
      </c>
      <c r="I19" s="6">
        <f>'[1]Gaetan'!$P$16</f>
        <v>165</v>
      </c>
      <c r="J19" s="6">
        <f>'[1]Gaetan'!$P$17</f>
        <v>32</v>
      </c>
      <c r="K19" s="6">
        <f>'[1]Gaetan'!$O$34</f>
        <v>1213</v>
      </c>
      <c r="L19" s="6">
        <f>'[1]Gaetan'!$P$32</f>
        <v>282</v>
      </c>
      <c r="M19" s="6">
        <f>'[1]Gaetan'!$P$33</f>
        <v>444</v>
      </c>
      <c r="N19" s="6">
        <f>L19+M19</f>
        <v>726</v>
      </c>
      <c r="O19" s="7">
        <f>N19/K19</f>
        <v>0.5985160758450123</v>
      </c>
      <c r="P19" s="6">
        <v>0</v>
      </c>
      <c r="Q19" s="66">
        <f t="shared" si="0"/>
        <v>-292</v>
      </c>
      <c r="R19" s="68">
        <f>C19-$C$16</f>
        <v>-103</v>
      </c>
    </row>
    <row r="20" spans="1:17" ht="13.5" thickBot="1">
      <c r="A20" s="123" t="s">
        <v>45</v>
      </c>
      <c r="B20" s="124"/>
      <c r="C20" s="22">
        <f>(SUM(C10:C19))/COUNTA(B10:B19)</f>
        <v>1135.2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60">
        <f>SUM(P10:P19)</f>
        <v>160</v>
      </c>
      <c r="Q20" s="9"/>
    </row>
    <row r="21" spans="1:17" ht="12.75">
      <c r="A21" s="9" t="s">
        <v>73</v>
      </c>
      <c r="B21" s="9"/>
      <c r="C21" s="9"/>
      <c r="D21" s="9"/>
      <c r="E21" s="126" t="s">
        <v>153</v>
      </c>
      <c r="F21" s="127"/>
      <c r="G21" s="128"/>
      <c r="H21" s="111">
        <f>X10-X11</f>
        <v>160</v>
      </c>
      <c r="I21" s="9"/>
      <c r="J21" s="9"/>
      <c r="K21" s="9"/>
      <c r="L21" s="9"/>
      <c r="M21" s="9"/>
      <c r="N21" s="9"/>
      <c r="O21" s="9"/>
      <c r="P21" s="9"/>
      <c r="Q21" s="9"/>
    </row>
    <row r="22" ht="12.75">
      <c r="E22" s="115"/>
    </row>
    <row r="23" ht="13.5" thickBot="1"/>
    <row r="24" spans="1:17" ht="27.75">
      <c r="A24" s="133" t="s">
        <v>150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17" ht="12.75">
      <c r="A25" s="10"/>
      <c r="B25" s="10"/>
      <c r="C25" s="10"/>
      <c r="D25" s="10"/>
      <c r="E25" s="129" t="s">
        <v>1</v>
      </c>
      <c r="F25" s="129"/>
      <c r="G25" s="129"/>
      <c r="H25" s="129"/>
      <c r="I25" s="129"/>
      <c r="J25" s="129"/>
      <c r="K25" s="11"/>
      <c r="L25" s="12"/>
      <c r="M25" s="12"/>
      <c r="N25" s="12"/>
      <c r="O25" s="12"/>
      <c r="P25" s="12"/>
      <c r="Q25" s="12"/>
    </row>
    <row r="26" spans="1:17" ht="65.25" thickBot="1">
      <c r="A26" s="40" t="s">
        <v>2</v>
      </c>
      <c r="B26" s="40" t="s">
        <v>3</v>
      </c>
      <c r="C26" s="41" t="s">
        <v>1</v>
      </c>
      <c r="D26" s="36" t="s">
        <v>4</v>
      </c>
      <c r="E26" s="37" t="s">
        <v>5</v>
      </c>
      <c r="F26" s="37" t="s">
        <v>6</v>
      </c>
      <c r="G26" s="37" t="s">
        <v>7</v>
      </c>
      <c r="H26" s="37" t="s">
        <v>8</v>
      </c>
      <c r="I26" s="37" t="s">
        <v>9</v>
      </c>
      <c r="J26" s="37" t="s">
        <v>10</v>
      </c>
      <c r="K26" s="42" t="s">
        <v>11</v>
      </c>
      <c r="L26" s="42" t="s">
        <v>12</v>
      </c>
      <c r="M26" s="42" t="s">
        <v>13</v>
      </c>
      <c r="N26" s="42" t="s">
        <v>14</v>
      </c>
      <c r="O26" s="43" t="s">
        <v>15</v>
      </c>
      <c r="P26" s="43" t="s">
        <v>16</v>
      </c>
      <c r="Q26" s="44" t="s">
        <v>17</v>
      </c>
    </row>
    <row r="27" spans="1:17" ht="12.75">
      <c r="A27" s="23" t="s">
        <v>18</v>
      </c>
      <c r="B27" s="24" t="s">
        <v>51</v>
      </c>
      <c r="C27" s="29">
        <f>(((((('[1]Phil'!$P$18)-143)-240)-210)-208))-166</f>
        <v>115</v>
      </c>
      <c r="D27" s="26">
        <f>(((((('[1]Phil'!$O$18)-209)-279)-301)-274))-261</f>
        <v>120</v>
      </c>
      <c r="E27" s="26">
        <f>(((((('[1]Phil'!$P$12)-12)-31)-7)-3))-11</f>
        <v>20</v>
      </c>
      <c r="F27" s="26">
        <f>(((((('[1]Phil'!$P$13)-21)-34)-26)-37))-34</f>
        <v>13</v>
      </c>
      <c r="G27" s="26">
        <f>(((((('[1]Phil'!$P$14)-48)-70)-80)-73))-42</f>
        <v>33</v>
      </c>
      <c r="H27" s="26">
        <f>(((((('[1]Phil'!$P$15)-42)-56)-54)-54))-48</f>
        <v>24</v>
      </c>
      <c r="I27" s="26">
        <f>(((((('[1]Phil'!$P$16)-16)-41)-34)-33))-28</f>
        <v>21</v>
      </c>
      <c r="J27" s="26">
        <f>(((((('[1]Phil'!$P$17)-4)-8)-9)-8))-3</f>
        <v>4</v>
      </c>
      <c r="K27" s="26">
        <f>(((((('[1]Phil'!$O$34)-182)-247)-265)-236))-228</f>
        <v>105</v>
      </c>
      <c r="L27" s="26">
        <f>(((((('[1]Phil'!$P$32)-37)-67)-61)-67))-52</f>
        <v>35</v>
      </c>
      <c r="M27" s="26">
        <f>(((((('[1]Phil'!$P$33)-73)-108)-116)-101))-69</f>
        <v>47</v>
      </c>
      <c r="N27" s="26">
        <f>L27+M27</f>
        <v>82</v>
      </c>
      <c r="O27" s="27">
        <f>N27/K27</f>
        <v>0.780952380952381</v>
      </c>
      <c r="P27" s="26">
        <v>0</v>
      </c>
      <c r="Q27" s="30" t="s">
        <v>19</v>
      </c>
    </row>
    <row r="28" spans="1:17" ht="12.75">
      <c r="A28" s="4" t="s">
        <v>20</v>
      </c>
      <c r="B28" s="19" t="s">
        <v>50</v>
      </c>
      <c r="C28" s="13">
        <f>(((((('[1]Sylvain'!$P$18)-170)-228)-279)-243))-259</f>
        <v>106</v>
      </c>
      <c r="D28" s="6">
        <f>(((((('[1]Sylvain'!$O$18)-218)-289)-294)-276))-285</f>
        <v>124</v>
      </c>
      <c r="E28" s="6">
        <f>(((((('[1]Sylvain'!$P$12)-8)-31)-52)-26))-25</f>
        <v>2</v>
      </c>
      <c r="F28" s="6">
        <f>(((((('[1]Sylvain'!$P$13)-26)-31)-22)-22))-24</f>
        <v>15</v>
      </c>
      <c r="G28" s="6">
        <f>(((((('[1]Sylvain'!$P$14)-44)-72)-78)-86))-76</f>
        <v>36</v>
      </c>
      <c r="H28" s="6">
        <f>(((((('[1]Sylvain'!$P$15)-44)-49)-33)-37))-41</f>
        <v>20</v>
      </c>
      <c r="I28" s="6">
        <f>(((((('[1]Sylvain'!$P$16)-40)-33)-48)-37))-53</f>
        <v>17</v>
      </c>
      <c r="J28" s="6">
        <f>(((((('[1]Sylvain'!$P$17)-8)-12)-46)-35))-40</f>
        <v>16</v>
      </c>
      <c r="K28" s="6">
        <f>(((((('[1]Sylvain'!$O$34)-189)-249)-244)-225))-235</f>
        <v>97</v>
      </c>
      <c r="L28" s="6">
        <f>(((((('[1]Sylvain'!$P$32)-46)-62)-47)-60))-52</f>
        <v>31</v>
      </c>
      <c r="M28" s="6">
        <f>(((((('[1]Sylvain'!$P$33)-88)-93)-112)-100))-118</f>
        <v>42</v>
      </c>
      <c r="N28" s="6">
        <f>L28+M28</f>
        <v>73</v>
      </c>
      <c r="O28" s="7">
        <f>N28/K28</f>
        <v>0.7525773195876289</v>
      </c>
      <c r="P28" s="6">
        <v>0</v>
      </c>
      <c r="Q28" s="13">
        <f>C28-$C$27</f>
        <v>-9</v>
      </c>
    </row>
    <row r="29" spans="1:17" ht="12.75">
      <c r="A29" s="4" t="s">
        <v>21</v>
      </c>
      <c r="B29" s="19" t="s">
        <v>47</v>
      </c>
      <c r="C29" s="13">
        <f>(((((('[1]Jonathan'!$P$18)-192)-220)-199)-186))-219</f>
        <v>97</v>
      </c>
      <c r="D29" s="6">
        <f>(((((('[1]Jonathan'!$O$18)-225)-293)-284)-271))-279</f>
        <v>112</v>
      </c>
      <c r="E29" s="6">
        <f>(((((('[1]Jonathan'!$P$12)-32)-11)-6)-11))-6</f>
        <v>12</v>
      </c>
      <c r="F29" s="6">
        <f>(((((('[1]Jonathan'!$P$13)-26)-30)-20)-20))-27</f>
        <v>11</v>
      </c>
      <c r="G29" s="6">
        <f>(((((('[1]Jonathan'!$P$14)-65)-102)-94)-75))-82</f>
        <v>23</v>
      </c>
      <c r="H29" s="6">
        <f>(((((('[1]Jonathan'!$P$15)-33)-38)-44)-30))-48</f>
        <v>28</v>
      </c>
      <c r="I29" s="6">
        <f>(((((('[1]Jonathan'!$P$16)-32)-30)-27)-32))-31</f>
        <v>9</v>
      </c>
      <c r="J29" s="6">
        <f>(((((('[1]Jonathan'!$P$17)-4)-9)-8)-18))-25</f>
        <v>14</v>
      </c>
      <c r="K29" s="6">
        <f>(((((('[1]Jonathan'!$O$34)-191)-250)-247)-231))-224</f>
        <v>89</v>
      </c>
      <c r="L29" s="6">
        <f>(((((('[1]Jonathan'!$P$32)-49)-59)-73)-49))-64</f>
        <v>25</v>
      </c>
      <c r="M29" s="6">
        <f>(((((('[1]Jonathan'!$P$33)-82)-118)-98)-90))-97</f>
        <v>35</v>
      </c>
      <c r="N29" s="6">
        <f>L29+M29</f>
        <v>60</v>
      </c>
      <c r="O29" s="7">
        <f>N29/K29</f>
        <v>0.6741573033707865</v>
      </c>
      <c r="P29" s="6">
        <v>0</v>
      </c>
      <c r="Q29" s="13">
        <f aca="true" t="shared" si="1" ref="Q29:Q36">C29-$C$27</f>
        <v>-18</v>
      </c>
    </row>
    <row r="30" spans="1:17" ht="12.75">
      <c r="A30" s="4" t="s">
        <v>22</v>
      </c>
      <c r="B30" s="19" t="s">
        <v>53</v>
      </c>
      <c r="C30" s="13">
        <f>(((((('[1]Maxime'!$P$18)-172)-222)-233)-168))-206</f>
        <v>95</v>
      </c>
      <c r="D30" s="6">
        <f>(((((('[1]Maxime'!$O$18)-211)-285)-294)-275))-266</f>
        <v>123</v>
      </c>
      <c r="E30" s="6">
        <f>(((((('[1]Maxime'!$P$12)-13)-19)-46)-18))-25</f>
        <v>4</v>
      </c>
      <c r="F30" s="6">
        <f>(((((('[1]Maxime'!$P$13)-32)-43)-25)-8))-22</f>
        <v>12</v>
      </c>
      <c r="G30" s="6">
        <f>(((((('[1]Maxime'!$P$14)-59)-77)-71)-63))-62</f>
        <v>36</v>
      </c>
      <c r="H30" s="6">
        <f>(((((('[1]Maxime'!$P$15)-31)-41)-38)-38))-49</f>
        <v>19</v>
      </c>
      <c r="I30" s="6">
        <f>(((((('[1]Maxime'!$P$16)-33)-36)-44)-39))-43</f>
        <v>18</v>
      </c>
      <c r="J30" s="6">
        <f>(((((('[1]Maxime'!$P$17)-4)-6)-9)-2))-5</f>
        <v>6</v>
      </c>
      <c r="K30" s="6">
        <f>(((((('[1]Maxime'!$O$34)-185)-250)-261)-248))-236</f>
        <v>108</v>
      </c>
      <c r="L30" s="6">
        <f>(((((('[1]Maxime'!$P$32)-37)-57)-58)-46))-54</f>
        <v>27</v>
      </c>
      <c r="M30" s="6">
        <f>(((((('[1]Maxime'!$P$33)-90)-103)-104)-96))-105</f>
        <v>52</v>
      </c>
      <c r="N30" s="6">
        <f>L30+M30</f>
        <v>79</v>
      </c>
      <c r="O30" s="7">
        <f>N30/K30</f>
        <v>0.7314814814814815</v>
      </c>
      <c r="P30" s="6">
        <v>0</v>
      </c>
      <c r="Q30" s="13">
        <f t="shared" si="1"/>
        <v>-20</v>
      </c>
    </row>
    <row r="31" spans="1:17" ht="12.75">
      <c r="A31" s="4" t="s">
        <v>23</v>
      </c>
      <c r="B31" s="19" t="s">
        <v>46</v>
      </c>
      <c r="C31" s="13">
        <f>(((((('[1]Johnny'!$P$18)-185)-236)-236)-208))-229</f>
        <v>93</v>
      </c>
      <c r="D31" s="6">
        <f>(((((('[1]Johnny'!$O$18)-235)-311)-305)-276))-291</f>
        <v>126</v>
      </c>
      <c r="E31" s="6">
        <f>(((((('[1]Johnny'!$P$12)-15)-12)-26)-24))-23</f>
        <v>3</v>
      </c>
      <c r="F31" s="6">
        <f>(((((('[1]Johnny'!$P$13)-31)-40)-31)-29))-40</f>
        <v>12</v>
      </c>
      <c r="G31" s="6">
        <f>(((((('[1]Johnny'!$P$14)-72)-85)-80)-76))-80</f>
        <v>41</v>
      </c>
      <c r="H31" s="6">
        <f>(((((('[1]Johnny'!$P$15)-37)-39)-50)-33))-36</f>
        <v>17</v>
      </c>
      <c r="I31" s="6">
        <f>(((((('[1]Johnny'!$P$16)-23)-47)-37)-36))-39</f>
        <v>17</v>
      </c>
      <c r="J31" s="6">
        <f>(((((('[1]Johnny'!$P$17)-7)-13)-12)-10))-11</f>
        <v>3</v>
      </c>
      <c r="K31" s="6">
        <f>(((((('[1]Johnny'!$O$34)-205)-274)-271)-243))-254</f>
        <v>108</v>
      </c>
      <c r="L31" s="6">
        <f>(((((('[1]Johnny'!$P$32)-51)-59)-54)-56))-74</f>
        <v>33</v>
      </c>
      <c r="M31" s="6">
        <f>(((((('[1]Johnny'!$P$33)-88)-125)-125)-99))-92</f>
        <v>45</v>
      </c>
      <c r="N31" s="6">
        <f>L31+M31</f>
        <v>78</v>
      </c>
      <c r="O31" s="7">
        <f>N31/K31</f>
        <v>0.7222222222222222</v>
      </c>
      <c r="P31" s="6">
        <v>0</v>
      </c>
      <c r="Q31" s="13">
        <f t="shared" si="1"/>
        <v>-22</v>
      </c>
    </row>
    <row r="32" spans="1:17" ht="12.75">
      <c r="A32" s="4" t="s">
        <v>24</v>
      </c>
      <c r="B32" s="19" t="s">
        <v>49</v>
      </c>
      <c r="C32" s="13">
        <f>(((((('[1]Gilles'!$P$18)-161)-200)-289)-215))-207</f>
        <v>88</v>
      </c>
      <c r="D32" s="6">
        <f>(((((('[1]Gilles'!$O$18)-204)-289)-313)-283))-281</f>
        <v>118</v>
      </c>
      <c r="E32" s="6">
        <f>(((((('[1]Gilles'!$P$12)-27)-9)-29)-10))-5</f>
        <v>1</v>
      </c>
      <c r="F32" s="6">
        <f>(((((('[1]Gilles'!$P$13)-18)-19)-37)-39))-25</f>
        <v>17</v>
      </c>
      <c r="G32" s="6">
        <f>(((((('[1]Gilles'!$P$14)-58)-90)-90)-77))-90</f>
        <v>34</v>
      </c>
      <c r="H32" s="6">
        <f>(((((('[1]Gilles'!$P$15)-32)-45)-75)-36))-46</f>
        <v>15</v>
      </c>
      <c r="I32" s="6">
        <f>(((((('[1]Gilles'!$P$16)-21)-30)-41)-42))-32</f>
        <v>15</v>
      </c>
      <c r="J32" s="6">
        <f>(((((('[1]Gilles'!$P$17)-5)-7)-17)-11))-9</f>
        <v>6</v>
      </c>
      <c r="K32" s="6">
        <f>(((((('[1]Gilles'!$O$34)-183)-250)-281)-244))-244</f>
        <v>103</v>
      </c>
      <c r="L32" s="6">
        <f>(((((('[1]Gilles'!$P$32)-49)-69)-97)-60))-67</f>
        <v>30</v>
      </c>
      <c r="M32" s="6">
        <f>(((((('[1]Gilles'!$P$33)-67)-103)-126)-106))-110</f>
        <v>40</v>
      </c>
      <c r="N32" s="6">
        <f>L32+M32</f>
        <v>70</v>
      </c>
      <c r="O32" s="7">
        <f>N32/K32</f>
        <v>0.6796116504854369</v>
      </c>
      <c r="P32" s="6">
        <v>0</v>
      </c>
      <c r="Q32" s="13">
        <f t="shared" si="1"/>
        <v>-27</v>
      </c>
    </row>
    <row r="33" spans="1:17" ht="12.75">
      <c r="A33" s="4" t="s">
        <v>25</v>
      </c>
      <c r="B33" s="19" t="s">
        <v>52</v>
      </c>
      <c r="C33" s="13">
        <f>(((((('[1]Hugo'!$P$18)-173)-210)-248)-249))-219</f>
        <v>78</v>
      </c>
      <c r="D33" s="6">
        <f>(((((('[1]Hugo'!$O$18)-224)-285)-291)-273))-266</f>
        <v>111</v>
      </c>
      <c r="E33" s="6">
        <f>(((((('[1]Hugo'!$P$12)-0)-17)-33)-18))-32</f>
        <v>-2</v>
      </c>
      <c r="F33" s="6">
        <f>(((((('[1]Hugo'!$P$13)-31)-18)-30)-34))-38</f>
        <v>12</v>
      </c>
      <c r="G33" s="6">
        <f>(((((('[1]Hugo'!$P$14)-69)-56)-86)-86))-71</f>
        <v>30</v>
      </c>
      <c r="H33" s="6">
        <f>(((((('[1]Hugo'!$P$15)-33)-56)-48)-60))-34</f>
        <v>20</v>
      </c>
      <c r="I33" s="6">
        <f>(((((('[1]Hugo'!$P$16)-30)-48)-41)-36))-31</f>
        <v>14</v>
      </c>
      <c r="J33" s="6">
        <f>(((((('[1]Hugo'!$P$17)-10)-15)-10)-15))-13</f>
        <v>4</v>
      </c>
      <c r="K33" s="6">
        <f>(((((('[1]Hugo'!$O$34)-198)-253)-257)-242))-237</f>
        <v>99</v>
      </c>
      <c r="L33" s="6">
        <f>(((((('[1]Hugo'!$P$32)-62)-65)-69)-68))-50</f>
        <v>27</v>
      </c>
      <c r="M33" s="6">
        <f>(((((('[1]Hugo'!$P$33)-80)-110)-116)-129))-99</f>
        <v>41</v>
      </c>
      <c r="N33" s="6">
        <f>L33+M33</f>
        <v>68</v>
      </c>
      <c r="O33" s="7">
        <f>N33/K33</f>
        <v>0.6868686868686869</v>
      </c>
      <c r="P33" s="6">
        <v>0</v>
      </c>
      <c r="Q33" s="13">
        <f t="shared" si="1"/>
        <v>-37</v>
      </c>
    </row>
    <row r="34" spans="1:17" ht="12.75">
      <c r="A34" s="4" t="s">
        <v>26</v>
      </c>
      <c r="B34" s="19" t="s">
        <v>48</v>
      </c>
      <c r="C34" s="13">
        <f>(((((('[1]Patrick L.'!$P$18)-170)-196)-211)-173))-220</f>
        <v>72</v>
      </c>
      <c r="D34" s="26">
        <f>(((((('[1]Patrick L.'!$O$18)-220)-294)-307)-265))-267</f>
        <v>111</v>
      </c>
      <c r="E34" s="26">
        <f>(((((('[1]Patrick L.'!$P$12)-12)-1)-15)-7))-34</f>
        <v>6</v>
      </c>
      <c r="F34" s="26">
        <f>(((((('[1]Patrick L.'!$P$13)-19)-28)-24)-20))-13</f>
        <v>4</v>
      </c>
      <c r="G34" s="26">
        <f>(((((('[1]Patrick L.'!$P$14)-59)-70)-70)-66))-79</f>
        <v>38</v>
      </c>
      <c r="H34" s="26">
        <f>(((((('[1]Patrick L.'!$P$15)-40)-42)-50)-41))-40</f>
        <v>18</v>
      </c>
      <c r="I34" s="26">
        <f>(((((('[1]Patrick L.'!$P$16)-34)-39)-37)-30))-43</f>
        <v>6</v>
      </c>
      <c r="J34" s="26">
        <f>(((((('[1]Patrick L.'!$P$17)-6)-16)-15)-9))-11</f>
        <v>0</v>
      </c>
      <c r="K34" s="26">
        <f>(((((('[1]Patrick L.'!$O$34)-193)-260)-274)-245))-245</f>
        <v>99</v>
      </c>
      <c r="L34" s="26">
        <f>(((((('[1]Patrick L.'!$P$32)-53)-63)-60)-64))-75</f>
        <v>25</v>
      </c>
      <c r="M34" s="26">
        <f>(((((('[1]Patrick L.'!$P$33)-86)-104)-112)-82))-98</f>
        <v>37</v>
      </c>
      <c r="N34" s="6">
        <f>L34+M34</f>
        <v>62</v>
      </c>
      <c r="O34" s="7">
        <f>N34/K34</f>
        <v>0.6262626262626263</v>
      </c>
      <c r="P34" s="6">
        <v>0</v>
      </c>
      <c r="Q34" s="13">
        <f t="shared" si="1"/>
        <v>-43</v>
      </c>
    </row>
    <row r="35" spans="1:17" ht="12.75">
      <c r="A35" s="4" t="s">
        <v>27</v>
      </c>
      <c r="B35" s="19" t="s">
        <v>72</v>
      </c>
      <c r="C35" s="13">
        <f>(((((('[1]Gaetan'!$P$18)-134)-191)-218)-204))-180</f>
        <v>66</v>
      </c>
      <c r="D35" s="6">
        <f>(((((('[1]Gaetan'!$O$18)-195)-276)-281)-265))-254</f>
        <v>115</v>
      </c>
      <c r="E35" s="6">
        <f>(((((('[1]Gaetan'!$P$12)-20)-26)-34)-24))-33</f>
        <v>7</v>
      </c>
      <c r="F35" s="6">
        <f>(((((('[1]Gaetan'!$P$13)-11)-22)-28)-35))-22</f>
        <v>5</v>
      </c>
      <c r="G35" s="6">
        <f>(((((('[1]Gaetan'!$P$14)-48)-67)-71)-60))-51</f>
        <v>19</v>
      </c>
      <c r="H35" s="6">
        <f>(((((('[1]Gaetan'!$P$15)-27)-35)-52)-43))-37</f>
        <v>19</v>
      </c>
      <c r="I35" s="6">
        <f>(((((('[1]Gaetan'!$P$16)-25)-39)-27)-35))-28</f>
        <v>11</v>
      </c>
      <c r="J35" s="6">
        <f>(((((('[1]Gaetan'!$P$17)-3)-2)-6)-7))-9</f>
        <v>5</v>
      </c>
      <c r="K35" s="6">
        <f>(((((('[1]Gaetan'!$O$34)-171)-241)-244)-229))-222</f>
        <v>106</v>
      </c>
      <c r="L35" s="6">
        <f>(((((('[1]Gaetan'!$P$32)-40)-51)-61)-58))-50</f>
        <v>22</v>
      </c>
      <c r="M35" s="6">
        <f>(((((('[1]Gaetan'!$P$33)-63)-92)-95)-87))-75</f>
        <v>32</v>
      </c>
      <c r="N35" s="6">
        <f>L35+M35</f>
        <v>54</v>
      </c>
      <c r="O35" s="7">
        <f>N35/K35</f>
        <v>0.5094339622641509</v>
      </c>
      <c r="P35" s="6">
        <v>0</v>
      </c>
      <c r="Q35" s="13">
        <f t="shared" si="1"/>
        <v>-49</v>
      </c>
    </row>
    <row r="36" spans="1:17" ht="13.5" thickBot="1">
      <c r="A36" s="4" t="s">
        <v>28</v>
      </c>
      <c r="B36" s="19" t="s">
        <v>32</v>
      </c>
      <c r="C36" s="13">
        <f>(((((('[1]Patrick B.'!$P$18)-192)-264)-246)-236))-217</f>
        <v>62</v>
      </c>
      <c r="D36" s="6">
        <f>(((((('[1]Patrick B.'!$O$18)-237)-286)-298)-274))-296</f>
        <v>109</v>
      </c>
      <c r="E36" s="6">
        <f>(((((('[1]Patrick B.'!$P$12)-30)-44)-26)-30))-18</f>
        <v>-5</v>
      </c>
      <c r="F36" s="6">
        <f>(((((('[1]Patrick B.'!$P$13)-20)-16)-41)-37))-30</f>
        <v>8</v>
      </c>
      <c r="G36" s="6">
        <f>(((((('[1]Patrick B.'!$P$14)-66)-88)-78)-72))-71</f>
        <v>23</v>
      </c>
      <c r="H36" s="6">
        <f>(((((('[1]Patrick B.'!$P$15)-33)-39)-48)-48))-46</f>
        <v>18</v>
      </c>
      <c r="I36" s="6">
        <f>(((((('[1]Patrick B.'!$P$16)-34)-59)-36)-39))-41</f>
        <v>15</v>
      </c>
      <c r="J36" s="6">
        <f>(((((('[1]Patrick B.'!$P$17)-9)-18)-17)-10))-11</f>
        <v>3</v>
      </c>
      <c r="K36" s="6">
        <f>(((((('[1]Patrick B.'!$O$34)-209)-256)-264)-242))-259</f>
        <v>95</v>
      </c>
      <c r="L36" s="6">
        <f>(((((('[1]Patrick B.'!$P$32)-51)-82)-52)-64))-59</f>
        <v>22</v>
      </c>
      <c r="M36" s="6">
        <f>(((((('[1]Patrick B.'!$P$33)-91)-122)-127)-105))-110</f>
        <v>37</v>
      </c>
      <c r="N36" s="6">
        <f>L36+M36</f>
        <v>59</v>
      </c>
      <c r="O36" s="7">
        <f>N36/K36</f>
        <v>0.6210526315789474</v>
      </c>
      <c r="P36" s="6">
        <v>0</v>
      </c>
      <c r="Q36" s="13">
        <f t="shared" si="1"/>
        <v>-53</v>
      </c>
    </row>
    <row r="37" spans="1:4" ht="13.5" thickBot="1">
      <c r="A37" s="123" t="s">
        <v>45</v>
      </c>
      <c r="B37" s="124"/>
      <c r="C37" s="125"/>
      <c r="D37" s="21">
        <f>(SUM(C27:C36))/COUNTA(B27:B36)</f>
        <v>87.2</v>
      </c>
    </row>
    <row r="38" ht="13.5" thickBot="1"/>
    <row r="39" spans="1:17" ht="27.75">
      <c r="A39" s="118" t="s">
        <v>152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</row>
    <row r="40" spans="1:17" ht="12.75">
      <c r="A40" s="3"/>
      <c r="B40" s="3"/>
      <c r="C40" s="3"/>
      <c r="D40" s="3"/>
      <c r="E40" s="122" t="s">
        <v>1</v>
      </c>
      <c r="F40" s="122"/>
      <c r="G40" s="122"/>
      <c r="H40" s="122"/>
      <c r="I40" s="122"/>
      <c r="J40" s="122"/>
      <c r="K40" s="14"/>
      <c r="L40" s="1"/>
      <c r="M40" s="1"/>
      <c r="N40" s="1"/>
      <c r="O40" s="1"/>
      <c r="P40" s="1"/>
      <c r="Q40" s="1"/>
    </row>
    <row r="41" spans="1:17" ht="65.25" thickBot="1">
      <c r="A41" s="33" t="s">
        <v>2</v>
      </c>
      <c r="B41" s="33" t="s">
        <v>3</v>
      </c>
      <c r="C41" s="34" t="s">
        <v>1</v>
      </c>
      <c r="D41" s="35" t="s">
        <v>4</v>
      </c>
      <c r="E41" s="36" t="s">
        <v>5</v>
      </c>
      <c r="F41" s="36" t="s">
        <v>6</v>
      </c>
      <c r="G41" s="36" t="s">
        <v>7</v>
      </c>
      <c r="H41" s="36" t="s">
        <v>8</v>
      </c>
      <c r="I41" s="36" t="s">
        <v>9</v>
      </c>
      <c r="J41" s="36" t="s">
        <v>10</v>
      </c>
      <c r="K41" s="37" t="s">
        <v>11</v>
      </c>
      <c r="L41" s="37" t="s">
        <v>12</v>
      </c>
      <c r="M41" s="37" t="s">
        <v>13</v>
      </c>
      <c r="N41" s="37" t="s">
        <v>14</v>
      </c>
      <c r="O41" s="38" t="s">
        <v>15</v>
      </c>
      <c r="P41" s="38" t="s">
        <v>16</v>
      </c>
      <c r="Q41" s="39" t="s">
        <v>17</v>
      </c>
    </row>
    <row r="42" spans="1:17" ht="12.75">
      <c r="A42" s="23" t="s">
        <v>18</v>
      </c>
      <c r="B42" s="24" t="s">
        <v>50</v>
      </c>
      <c r="C42" s="31">
        <f>(((((((((((((((((((((('[1]Sylvain'!P18)-27)-51)-51)-59)-23)-58)-64)-65)-67)-66)-53)-48)-76)-76)-52)-31)-53)-68)-49)-66)-76)-57</f>
        <v>49</v>
      </c>
      <c r="D42" s="26">
        <f>(((((((((((((((((((((('[1]Sylvain'!$O$18)-35)-68)-64)-67)-61)-62)-73)-76)-60)-79)-57)-56)-85)-69)-67)-38)-60)-68)-73)-79)-65)-75</f>
        <v>49</v>
      </c>
      <c r="E42" s="26">
        <f>(((((((((((((((((((((('[1]Sylvain'!$P$12)--1)--6)-6)-9)--5)-7)-18)-11)-10)-12)-10)-12)-10)-9)-6)-3)-6)-11)--4)-4)-14)-1</f>
        <v>1</v>
      </c>
      <c r="F42" s="26">
        <f>(((((((((((((((((((((('[1]Sylvain'!$P$13)-2)-11)-9)-6)-2)-14)-2)-11)-6)-7)-3)-4)-2)-12)-4)-2)-4)-12)-4)-7)-1)-8</f>
        <v>7</v>
      </c>
      <c r="G42" s="26">
        <f>(((((((((((((((((((((('[1]Sylvain'!$P$14)-7)-13)-16)-16)-13)-15)-18)-18)-18)-23)-16)-12)-23)-24)-18)-12)-18)-18)-18)-16)-24)-22</f>
        <v>14</v>
      </c>
      <c r="H42" s="26">
        <f>(((((((((((((((((((((('[1]Sylvain'!$P$15)-13)-13)-11)-10)-7)-12)-16)-11)-6)-8)-7)-5)-13)-11)-8)-3)-9)-8)-9)-10)-14)-12</f>
        <v>8</v>
      </c>
      <c r="I42" s="26">
        <f>(((((((((((((((((((((('[1]Sylvain'!$P$16)-6)-16)-7)-14)-5)-10)-10)-5)-11)-12)-9)-9)-14)-8)-8)-8)-6)-13)-16)-17)-7)-6</f>
        <v>11</v>
      </c>
      <c r="J42" s="26">
        <f>(((((((((((((((((((((('[1]Sylvain'!$P$17)-0)-4)-2)-4)-1)-0)-0)-9)-16)-4)-8)-6)-14)-12)-8)-3)-10)-6)-6)-12)-16)-8</f>
        <v>8</v>
      </c>
      <c r="K42" s="26">
        <f>(((((((((((((((((((((('[1]Sylvain'!$O$34)-32)-59)-55)-57)-52)-54)-63)-65)-49)-67)-47)-48)-70)-56)-55)-29)-49)-57)-62)-65)-51)-59</f>
        <v>38</v>
      </c>
      <c r="L42" s="26">
        <f>(((((((((((((((((((((('[1]Sylvain'!$P$32)-9)-17)-12)-13)-13)-15)-16)-13)-7)-15)-11)-7)-13)-18)-11)-6)-19)-15)-14)-7)-16)-18</f>
        <v>13</v>
      </c>
      <c r="M42" s="26">
        <f>(((((((((((((((((((((('[1]Sylvain'!$P$33)-17)-29)-24)-27)-13)-22)-28)-21)-28)-28)-21)-19)-37)-25)-23)-17)-14)-24)-29)-36)-29)-22</f>
        <v>20</v>
      </c>
      <c r="N42" s="26">
        <f>L42+M42</f>
        <v>33</v>
      </c>
      <c r="O42" s="27">
        <f>N42/K42</f>
        <v>0.868421052631579</v>
      </c>
      <c r="P42" s="26">
        <v>0</v>
      </c>
      <c r="Q42" s="32" t="s">
        <v>19</v>
      </c>
    </row>
    <row r="43" spans="1:17" ht="12.75">
      <c r="A43" s="4" t="s">
        <v>20</v>
      </c>
      <c r="B43" s="19" t="s">
        <v>51</v>
      </c>
      <c r="C43" s="15">
        <f>(((((((((((((((((((((('[1]Phil'!P18)-21)-54)-50)-42)-43)-67)-42)-63)-52)-43)-55)-50)-28)-38)-57)-30)-66)-50)-18)-64)-34)-69</f>
        <v>46</v>
      </c>
      <c r="D43" s="6">
        <f>(((((((((((((((((((((('[1]Phil'!$O$18)-40)-62)-62)-63)-52)-64)-67)-76)-61)-78)-66)-70)-65)-70)-69)-34)-64)-61)-62)-74)-64)-70</f>
        <v>50</v>
      </c>
      <c r="E43" s="6">
        <f>(((((((((((((((((((((('[1]Phil'!$P$12)-1)-7)-8)-1)-6)-11)-1)-8)-4)-2)-1)-3)--10)--4)-5)-4)-5)-6)--4)-6)-3)-14</f>
        <v>6</v>
      </c>
      <c r="F43" s="6">
        <f>(((((((((((((((((((((('[1]Phil'!$P$13)-5)-8)-8)-8)-8)-6)-8)-4)-2)-4)-9)-11)-4)-6)-8)-8)-11)-13)-4)-9)-8)-8</f>
        <v>5</v>
      </c>
      <c r="G43" s="6">
        <f>(((((((((((((((((((((('[1]Phil'!$P$14)-5)-15)-18)-16)-12)-21)-14)-17)-18)-18)-18)-17)-23)-11)-22)-7)-19)-9)-9)-16)-8)-20</f>
        <v>13</v>
      </c>
      <c r="H43" s="6">
        <f>(((((((((((((((((((((('[1]Phil'!$P$15)-7)-17)-12)-10)-6)-17)-10)-19)-16)-13)-12)-9)-6)-16)-16)-4)-16)-12)-4)-21)-11)-12</f>
        <v>12</v>
      </c>
      <c r="I43" s="6">
        <f>(((((((((((((((((((((('[1]Phil'!$P$16)-2)-4)-4)-7)-11)-10)-8)-10)-10)-4)-13)-7)-4)-7)-5)-5)-13)-8)-5)-11)-4)-13</f>
        <v>8</v>
      </c>
      <c r="J43" s="6">
        <f>(((((((((((((((((((((('[1]Phil'!$P$17)-1)-3)-0)-0)-0)-2)-1)-5)-2)-2)-2)-3)-1)-2)-1)-2)-2)-2)-0)-1)-0)-2</f>
        <v>2</v>
      </c>
      <c r="K43" s="6">
        <f>(((((((((((((((((((((('[1]Phil'!$O$34)-33)-54)-54)-56)-46)-56)-58)-70)-54)-69)-59)-60)-57)-59)-61)-28)-56)-52)-54)-64)-58)-62</f>
        <v>43</v>
      </c>
      <c r="L43" s="6">
        <f>(((((((((((((((((((((('[1]Phil'!$P$32)-4)-14)-11)-11)-10)-22)-11)-21)-16)-9)-18)-13)-11)-12)-16)-7)-26)-14)-2)-25)-11)-21</f>
        <v>14</v>
      </c>
      <c r="M43" s="6">
        <f>(((((((((((((((((((((('[1]Phil'!$P$33)-11)-25)-23)-22)-19)-28)-22)-30)-30)-28)-27)-23)-23)-24)-28)-11)-24)-17)-16)-24)-12)-26</f>
        <v>21</v>
      </c>
      <c r="N43" s="6">
        <f>L43+M43</f>
        <v>35</v>
      </c>
      <c r="O43" s="7">
        <f>N43/K43</f>
        <v>0.813953488372093</v>
      </c>
      <c r="P43" s="6">
        <v>0</v>
      </c>
      <c r="Q43" s="15">
        <f>C43-$C$42</f>
        <v>-3</v>
      </c>
    </row>
    <row r="44" spans="1:17" ht="12.75">
      <c r="A44" s="4" t="s">
        <v>21</v>
      </c>
      <c r="B44" s="19" t="s">
        <v>48</v>
      </c>
      <c r="C44" s="15">
        <f>(((((((((((((((((((((('[1]Patrick L.'!P18)-44)-60)-41)-49)-45)-42)-31)-54)-50)-56)-35)-51)-45)-51)-35)-35)-26)-56)-58)-57)-49)-30</f>
        <v>42</v>
      </c>
      <c r="D44" s="6">
        <f>(((((((((((((((((((((('[1]Patrick L.'!$O$18)-48)-69)-63)-60)-66)-65)-68)-72)-69)-73)-68)-60)-74)-75)-67)-27)-62)-66)-64)-82)-55)-60</f>
        <v>51</v>
      </c>
      <c r="E44" s="6">
        <f>(((((((((((((((((((((('[1]Patrick L.'!$P$12)-3)-9)-6)-1)-2)--5)--8)-5)-0)-10)-5)-2)-7)-5)--6)-1)--2)-9)-6)-11)-8)-2</f>
        <v>4</v>
      </c>
      <c r="F44" s="6">
        <f>(((((((((((((((((((((('[1]Patrick L.'!$P$13)-3)-9)-2)-8)-4)-5)-12)-4)-4)-4)-3)-10)-5)-10)-4)-2)-2)-2)-2)-5)-4)-2</f>
        <v>2</v>
      </c>
      <c r="G44" s="6">
        <f>(((((((((((((((((((((('[1]Patrick L.'!$P$14)-15)-18)-11)-21)-15)-17)-11)-21)-17)-16)-11)-18)-14)-14)-21)-12)-13)-20)-25)-18)-16)-17</f>
        <v>21</v>
      </c>
      <c r="H44" s="6">
        <f>(((((((((((((((((((((('[1]Patrick L.'!$P$15)-10)-12)-11)-9)-10)-10)-10)-10)-14)-11)-7)-13)-8)-14)-9)-9)-6)-5)-14)-13)-8)-7</f>
        <v>11</v>
      </c>
      <c r="I44" s="6">
        <f>(((((((((((((((((((((('[1]Patrick L.'!$P$16)-11)-11)-9)-7)-6)-14)-5)-10)-10)-13)-7)-4)-8)-5)-6)-7)-7)-16)-8)-9)-10)-2</f>
        <v>4</v>
      </c>
      <c r="J44" s="6">
        <f>(((((((((((((((((((((('[1]Patrick L.'!$P$17)-2)-1)-2)-3)-8)-1)-1)-4)-4)-3)-2)-4)-3)-3)-1)-4)-0)-4)-3)-1)-3)-0</f>
        <v>0</v>
      </c>
      <c r="K44" s="6">
        <f>(((((((((((((((((((((('[1]Patrick L.'!$O$34)-41)-62)-54)-53)-59)-58)-60)-63)-61)-64)-62)-53)-66)-66)-60)-34)-56)-62)-60)-73)-50)-52</f>
        <v>47</v>
      </c>
      <c r="L44" s="6">
        <f>(((((((((((((((((((((('[1]Patrick L.'!$P$32)-13)-15)-10)-18)-13)-14)-12)-21)-17)-13)-8)-15)-15)-14)-16)-15)-11)-21)-24)-19)-11)-11</f>
        <v>14</v>
      </c>
      <c r="M44" s="6">
        <f>(((((((((((((((((((((('[1]Patrick L.'!$P$33)-25)-26)-24)-22)-26)-28)-15)-24)-28)-30)-19)-24)-18)-22)-21)-17)-15)-24)-26)-22)-26)-15</f>
        <v>22</v>
      </c>
      <c r="N44" s="6">
        <f>L44+M44</f>
        <v>36</v>
      </c>
      <c r="O44" s="7">
        <f>N44/K44</f>
        <v>0.7659574468085106</v>
      </c>
      <c r="P44" s="6">
        <v>0</v>
      </c>
      <c r="Q44" s="15">
        <f aca="true" t="shared" si="2" ref="Q44:Q51">C44-$C$42</f>
        <v>-7</v>
      </c>
    </row>
    <row r="45" spans="1:17" ht="12.75">
      <c r="A45" s="4" t="s">
        <v>22</v>
      </c>
      <c r="B45" s="19" t="s">
        <v>49</v>
      </c>
      <c r="C45" s="15">
        <f>(((((((((((((((((((((('[1]Gilles'!P18)-23)-59)-39)-44)-42)-58)-46)-47)-64)-59)-66)-56)-66)-72)-49)-32)-43)-44)-38)-65)-60)-48</f>
        <v>40</v>
      </c>
      <c r="D45" s="6">
        <f>(((((((((((((((((((((('[1]Gilles'!$O$18)-33)-68)-61)-58)-67)-65)-62)-73)-72)-75)-71)-63)-73)-72)-70)-44)-62)-71)-63)-77)-70)-74</f>
        <v>44</v>
      </c>
      <c r="E45" s="6">
        <f>(((((((((((((((((((((('[1]Gilles'!$P$12)-7)-12)-2)-9)--3)-0)-5)-4)-9)-2)-7)-3)-5)-17)-4)--5)--3)--2)--5)-1)-11)--6</f>
        <v>7</v>
      </c>
      <c r="F45" s="6">
        <f>(((((((((((((((((((((('[1]Gilles'!$P$13)-4)-3)-2)-9)-6)-4)-7)-2)-4)-10)-10)-11)-6)-10)-4)-13)-8)-3)-6)-12)-4)-8</f>
        <v>9</v>
      </c>
      <c r="G45" s="6">
        <f>(((((((((((((((((((((('[1]Gilles'!$P$14)-9)-18)-18)-13)-21)-28)-19)-20)-21)-20)-26)-13)-24)-19)-16)-13)-17)-25)-18)-26)-21)-23</f>
        <v>11</v>
      </c>
      <c r="H45" s="6">
        <f>(((((((((((((((((((((('[1]Gilles'!$P$15)-2)-14)-10)-6)-9)-18)-9)-9)-13)-17)-15)-19)-14)-11)-11)-6)-5)-14)-10)-11)-11)-9</f>
        <v>6</v>
      </c>
      <c r="I45" s="6">
        <f>(((((((((((((((((((((('[1]Gilles'!$P$16)-1)-11)-5)-5)-7)-7)-4)-10)-11)-8)-6)-7)-13)-13)-11)-4)-11)-3)-7)-12)-10)-8</f>
        <v>7</v>
      </c>
      <c r="J45" s="6">
        <f>(((((((((((((((((((((('[1]Gilles'!$P$17)-0)-1)-2)-2)-2)-1)-2)-2)-6)-2)-2)-3)-4)-2)-3)-1)-5)-1)-2)-3)-3)-6</f>
        <v>0</v>
      </c>
      <c r="K45" s="6">
        <f>(((((((((((((((((((((('[1]Gilles'!$O$34)-29)-59)-58)-50)-60)-55)-52)-65)-65)-66)-64)-56)-66)-61)-61)-37)-54)-62)-55)-68)-59)-67</f>
        <v>36</v>
      </c>
      <c r="L45" s="6">
        <f>(((((((((((((((((((((('[1]Gilles'!$P$32)-5)-14)-14)-16)-15)-19)-18)-16)-20)-16)-27)-17)-25)-19)-14)-6)-14)-13)-16)-21)-17)-19</f>
        <v>11</v>
      </c>
      <c r="M45" s="6">
        <f>(((((((((((((((((((((('[1]Gilles'!$P$33)-7)-30)-21)-10)-24)-35)-16)-25)-31)-31)-22)-25)-30)-26)-27)-18)-24)-30)-21)-31)-28)-27</f>
        <v>13</v>
      </c>
      <c r="N45" s="6">
        <f>L45+M45</f>
        <v>24</v>
      </c>
      <c r="O45" s="7">
        <f>N45/K45</f>
        <v>0.6666666666666666</v>
      </c>
      <c r="P45" s="6">
        <v>0</v>
      </c>
      <c r="Q45" s="15">
        <f t="shared" si="2"/>
        <v>-9</v>
      </c>
    </row>
    <row r="46" spans="1:17" ht="12.75">
      <c r="A46" s="4" t="s">
        <v>23</v>
      </c>
      <c r="B46" s="19" t="s">
        <v>47</v>
      </c>
      <c r="C46" s="15">
        <f>(((((((((((((((((((((('[1]Jonathan'!P18)-45)-54)-50)-49)-44)-57)-48)-64)-41)-48)-48)-43)-41)-57)-43)-37)-28)-39)-45)-70)-65)-57</f>
        <v>40</v>
      </c>
      <c r="D46" s="6">
        <f>(((((((((((((((((((((('[1]Jonathan'!$O$18)-40)-71)-68)-61)-67)-66)-63)-70)-78)-59)-65)-59)-66)-73)-65)-41)-61)-61)-65)-81)-72)-63</f>
        <v>49</v>
      </c>
      <c r="E46" s="6">
        <f>(((((((((((((((((((((('[1]Jonathan'!$P$12)-13)-6)-6)-4)-2)-8)--3)-11)--5)-0)-6)--2)-2)-7)-5)-2)--2)--8)-3)-0)-11)-4</f>
        <v>8</v>
      </c>
      <c r="F46" s="6">
        <f>(((((((((((((((((((((('[1]Jonathan'!$P$13)-9)-4)-6)-7)-8)-9)-5)-8)-5)-6)-2)-3)-4)-12)-4)-4)-0)-8)-4)-7)-8)-2</f>
        <v>9</v>
      </c>
      <c r="G46" s="6">
        <f>(((((((((((((((((((((('[1]Jonathan'!$P$14)-9)-25)-17)-22)-13)-27)-27)-26)-18)-23)-27)-22)-15)-18)-20)-15)-12)-17)-22)-20)-23)-16</f>
        <v>7</v>
      </c>
      <c r="H46" s="6">
        <f>(((((((((((((((((((((('[1]Jonathan'!$P$15)-4)-13)-11)-5)-7)-7)-10)-11)-13)-13)-6)-10)-11)-8)-4)-4)-8)-6)-8)-28)-6)-22</f>
        <v>6</v>
      </c>
      <c r="I46" s="6">
        <f>(((((((((((((((((((((('[1]Jonathan'!$P$16)-10)-6)-9)-8)-8)-5)-8)-7)-9)-4)-5)-7)-6)-9)-9)-6)-5)-3)-1)-13)-14)-5</f>
        <v>4</v>
      </c>
      <c r="J46" s="6">
        <f>(((((((((((((((((((((('[1]Jonathan'!$P$17)-0)-0)-1)-3)-6)-1)-1)-1)-1)-2)-2)-3)-3)-3)-1)-6)-5)-13)-7)-2)-3)-8</f>
        <v>6</v>
      </c>
      <c r="K46" s="6">
        <f>(((((((((((((((((((((('[1]Jonathan'!$O$34)-31)-63)-58)-52)-57)-58)-53)-60)-67)-48)-57)-53)-59)-63)-57)-32)-51)-47)-53)-65)-59)-50</f>
        <v>39</v>
      </c>
      <c r="L46" s="6">
        <f>(((((((((((((((((((((('[1]Jonathan'!$P$32)-15)-16)-13)-11)-9)-15)-13)-14)-21)-15)-17)-17)-11)-10)-12)-9)-12)-13)-16)-19)-16)-18</f>
        <v>7</v>
      </c>
      <c r="M46" s="6">
        <f>(((((((((((((((((((((('[1]Jonathan'!$P$33)-8)-28)-25)-24)-23)-25)-33)-31)-20)-27)-21)-25)-22)-26)-21)-16)-13)-13)-15)-42)-27)-25</f>
        <v>10</v>
      </c>
      <c r="N46" s="6">
        <f>L46+M46</f>
        <v>17</v>
      </c>
      <c r="O46" s="7">
        <f>N46/K46</f>
        <v>0.4358974358974359</v>
      </c>
      <c r="P46" s="6">
        <v>0</v>
      </c>
      <c r="Q46" s="15">
        <f t="shared" si="2"/>
        <v>-9</v>
      </c>
    </row>
    <row r="47" spans="1:17" ht="12.75">
      <c r="A47" s="4" t="s">
        <v>24</v>
      </c>
      <c r="B47" s="19" t="s">
        <v>46</v>
      </c>
      <c r="C47" s="15">
        <f>(((((((((((((((((((((('[1]Johnny'!P18)-19)-53)-67)-59)-71)-29)-54)-64)-44)-58)-63)-37)-61)-43)-65)-26)-52)-38)-67)-57)-67)-53</f>
        <v>40</v>
      </c>
      <c r="D47" s="6">
        <f>(((((((((((((((((((((('[1]Johnny'!$O$18)-44)-77)-70)-65)-74)-66)-72)-67)-68)-79)-68)-58)-72)-70)-74)-46)-57)-76)-72)-81)-62)-67</f>
        <v>59</v>
      </c>
      <c r="E47" s="6">
        <f>(((((((((((((((((((((('[1]Johnny'!$P$12)--6)-1)-12)-11)--2)--7)-5)-13)-1)-2)-8)-8)-10)-7)-6)--1)-9)--7)-14)-6)-10)-4</f>
        <v>-1</v>
      </c>
      <c r="F47" s="6">
        <f>(((((((((((((((((((((('[1]Johnny'!$P$13)-1)-8)-10)-14)-10)-3)-9)-14)-4)-11)-9)-5)-7)-4)-11)-2)-9)-2)-18)-10)-10)-6</f>
        <v>6</v>
      </c>
      <c r="G47" s="6">
        <f>(((((((((((((((((((((('[1]Johnny'!$P$14)-12)-14)-31)-17)-31)-13)-16)-22)-15)-19)-20)-15)-22)-13)-25)-12)-16)-19)-16)-22)-23)-26</f>
        <v>15</v>
      </c>
      <c r="H47" s="6">
        <f>(((((((((((((((((((((('[1]Johnny'!$P$15)-9)-17)-8)-5)-8)-8)-12)-7)-13)-15)-10)-5)-12)-11)-8)-3)-8)-10)-8)-5)-13)-6</f>
        <v>11</v>
      </c>
      <c r="I47" s="6">
        <f>(((((((((((((((((((((('[1]Johnny'!$P$16)-3)-9)-4)-10)-20)-9)-8)-7)-9)-7)-12)-3)-8)-7)-12)-8)-7)-11)-8)-11)-9)-10</f>
        <v>7</v>
      </c>
      <c r="J47" s="6">
        <f>(((((((((((((((((((((('[1]Johnny'!$P$17)-0)-4)-2)-2)-4)-3)-4)-1)-2)-4)-4)-1)-2)-1)-3)-2)-3)-3)-3)-3)-2)-1</f>
        <v>2</v>
      </c>
      <c r="K47" s="6">
        <f>(((((((((((((((((((((('[1]Johnny'!$O$34)-39)-68)-61)-56)-64)-58)-64)-59)-62)-70)-60)-51)-64)-63)-63)-41)-50)-67)-61)-71)-55)-57</f>
        <v>51</v>
      </c>
      <c r="L47" s="6">
        <f>(((((((((((((((((((((('[1]Johnny'!$P$32)-6)-17)-22)-9)-20)-10)-14)-10)-9)-15)-16)-4)-19)-12)-18)-6)-13)-19)-12)-21)-22)-18</f>
        <v>15</v>
      </c>
      <c r="M47" s="6">
        <f>(((((((((((((((((((((('[1]Johnny'!$P$33)-18)-27)-23)-25)-43)-23)-26)-27)-30)-30)-30)-20)-25)-20)-30)-19)-21)-24)-23)-20)-25)-25</f>
        <v>20</v>
      </c>
      <c r="N47" s="6">
        <f>L47+M47</f>
        <v>35</v>
      </c>
      <c r="O47" s="7">
        <f>N47/K47</f>
        <v>0.6862745098039216</v>
      </c>
      <c r="P47" s="6">
        <v>0</v>
      </c>
      <c r="Q47" s="15">
        <f t="shared" si="2"/>
        <v>-9</v>
      </c>
    </row>
    <row r="48" spans="1:17" ht="12.75">
      <c r="A48" s="4" t="s">
        <v>25</v>
      </c>
      <c r="B48" s="19" t="s">
        <v>53</v>
      </c>
      <c r="C48" s="15">
        <f>(((((((((((((((((((((('[1]Maxime'!P18)-49)-50)-38)-55)-64)-41)-57)-39)-42)-47)-65)-49)-46)-60)-42)-18)-33)-51)-39)-80)-36)-58</f>
        <v>37</v>
      </c>
      <c r="D48" s="6">
        <f>(((((((((((((((((((((('[1]Maxime'!$O$18)-38)-66)-58)-64)-61)-59)-74)-73)-66)-63)-68)-58)-75)-76)-64)-42)-60)-60)-65)-61)-80)-66</f>
        <v>57</v>
      </c>
      <c r="E48" s="6">
        <f>(((((((((((((((((((((('[1]Maxime'!$P$12)-6)-3)-4)-7)--1)-7)-10)--4)-4)-15)-20)-6)--1)-9)-12)--5)-4)-5)-9)-14)--3)-5</f>
        <v>-1</v>
      </c>
      <c r="F48" s="6">
        <f>(((((((((((((((((((((('[1]Maxime'!$P$13)-9)-8)-2)-15)-18)-9)-9)-5)-5)-2)-3)-5)-12)-3)-0)-1)-2)-6)-4)-9)-3)-6</f>
        <v>6</v>
      </c>
      <c r="G48" s="6">
        <f>(((((((((((((((((((((('[1]Maxime'!$P$14)-19)-20)-11)-12)-23)-14)-19)-18)-13)-14)-20)-17)-15)-25)-16)-6)-8)-19)-11)-18)-14)-21</f>
        <v>15</v>
      </c>
      <c r="H48" s="6">
        <f>(((((((((((((((((((((('[1]Maxime'!$P$15)-7)-8)-11)-9)-13)-7)-9)-7)-9)-6)-8)-11)-9)-12)-5)-9)-8)-15)-4)-20)-10)-15</f>
        <v>4</v>
      </c>
      <c r="I48" s="6">
        <f>(((((((((((((((((((((('[1]Maxime'!$P$16)-8)-11)-10)-8)-11)-2)-8)-11)-7)-9)-10)-10)-11)-10)-9)-6)-11)-5)-8)-18)-12)-7</f>
        <v>11</v>
      </c>
      <c r="J48" s="6">
        <f>(((((((((((((((((((((('[1]Maxime'!$P$17)-0)-0)-0)-4)-0)-2)-2)-2)-4)-1)-4)-0)-0)-1)-0)-1)-0)-1)-3)-1)-0)-4</f>
        <v>2</v>
      </c>
      <c r="K48" s="6">
        <f>(((((((((((((((((((((('[1]Maxime'!$O$34)-33)-58)-51)-56)-53)-52)-63)-66)-59)-58)-59)-52)-66)-69)-59)-38)-52)-51)-59)-51)-75)-58</f>
        <v>50</v>
      </c>
      <c r="L48" s="6">
        <f>(((((((((((((((((((((('[1]Maxime'!$P$32)-9)-10)-12)-13)-13)-6)-16)-14)-13)-13)-14)-11)-13)-18)-10)-7)-6)-14)-8)-20)-12)-20</f>
        <v>7</v>
      </c>
      <c r="M48" s="6">
        <f>(((((((((((((((((((((('[1]Maxime'!$P$33)-25)-29)-20)-20)-34)-19)-22)-24)-20)-17)-28)-27)-22)-30)-20)-15)-21)-26)-18)-37)-24)-27</f>
        <v>25</v>
      </c>
      <c r="N48" s="6">
        <f>L48+M48</f>
        <v>32</v>
      </c>
      <c r="O48" s="7">
        <f>N48/K48</f>
        <v>0.64</v>
      </c>
      <c r="P48" s="6">
        <v>0</v>
      </c>
      <c r="Q48" s="15">
        <f t="shared" si="2"/>
        <v>-12</v>
      </c>
    </row>
    <row r="49" spans="1:17" ht="12.75">
      <c r="A49" s="4" t="s">
        <v>26</v>
      </c>
      <c r="B49" s="19" t="s">
        <v>72</v>
      </c>
      <c r="C49" s="15">
        <f>(((((((((((((((((((((('[1]Gaetan'!P18)-20)-44)-47)-29)-42)-48)-45)-45)-53)-40)-61)-42)-54)-60)-57)-22)-38)-44)-55)-47)-34)-31</f>
        <v>35</v>
      </c>
      <c r="D49" s="26">
        <f>(((((((((((((((((((((('[1]Gaetan'!$O$18)-34)-56)-59)-62)-63)-63)-61)-68)-71)-56)-66)-49)-75)-69)-70)-39)-56)-57)-65)-64)-68)-65</f>
        <v>50</v>
      </c>
      <c r="E49" s="26">
        <f>(((((((((((((((((((((('[1]Gaetan'!$P$12)-2)-7)-10)-1)-7)-6)-14)--1)-9)-4)-11)-4)-13)-16)-8)--3)--4)-13)-12)-8)-0)-4</f>
        <v>3</v>
      </c>
      <c r="F49" s="26">
        <f>(((((((((((((((((((((('[1]Gaetan'!$P$13)-0)-3)-7)-3)-5)-5)-3)-5)-8)-6)-9)-5)-4)-7)-8)-4)-14)-6)-8)-1)-7)-3</f>
        <v>2</v>
      </c>
      <c r="G49" s="26">
        <f>(((((((((((((((((((((('[1]Gaetan'!$P$14)-9)-17)-11)-14)-11)-14)-13)-26)-19)-15)-17)-12)-19)-13)-15)-9)-12)-11)-17)-14)-9)-9</f>
        <v>10</v>
      </c>
      <c r="H49" s="26">
        <f>(((((((((((((((((((((('[1]Gaetan'!$P$15)-5)-6)-10)-6)-8)-9)-10)-8)-7)-9)-19)-12)-6)-18)-16)-2)-6)-10)-9)-10)-8)-11</f>
        <v>8</v>
      </c>
      <c r="I49" s="26">
        <f>(((((((((((((((((((((('[1]Gaetan'!$P$16)-3)-10)-9)-4)-10)-13)-5)-7)-10)-6)-5)-6)-8)-5)-10)-8)-7)-3)-6)-11)-8)-3</f>
        <v>8</v>
      </c>
      <c r="J49" s="26">
        <f>(((((((((((((((((((((('[1]Gaetan'!$P$17)-1)-1)-0)-1)-1)-1)-0)-0)-0)-0)-0)-3)-4)-1)-0)-2)-3)-1)-3)-3)-2)-1</f>
        <v>4</v>
      </c>
      <c r="K49" s="26">
        <f>(((((((((((((((((((((('[1]Gaetan'!$O$34)-29)-49)-51)-56)-56)-54)-54)-59)-60)-49)-57)-42)-67)-60)-60)-34)-48)-50)-54)-58)-60)-59</f>
        <v>47</v>
      </c>
      <c r="L49" s="26">
        <f>(((((((((((((((((((((('[1]Gaetan'!$P$32)-4)-14)-8)-16)-12)-14)-11)-12)-15)-11)-18)-12)-13)-21)-10)-8)-11)-10)-18)-10)-12)-11</f>
        <v>11</v>
      </c>
      <c r="M49" s="26">
        <f>(((((((((((((((((((((('[1]Gaetan'!$P$33)-14)-20)-22)-9)-18)-23)-17)-29)-21)-19)-23)-21)-24)-16)-31)-13)-17)-15)-17)-28)-15)-13</f>
        <v>19</v>
      </c>
      <c r="N49" s="6">
        <f>L49+M49</f>
        <v>30</v>
      </c>
      <c r="O49" s="7">
        <f>N49/K49</f>
        <v>0.6382978723404256</v>
      </c>
      <c r="P49" s="6">
        <v>0</v>
      </c>
      <c r="Q49" s="15">
        <f t="shared" si="2"/>
        <v>-14</v>
      </c>
    </row>
    <row r="50" spans="1:17" ht="12.75">
      <c r="A50" s="4" t="s">
        <v>27</v>
      </c>
      <c r="B50" s="19" t="s">
        <v>52</v>
      </c>
      <c r="C50" s="15">
        <f>(((((((((((((((((((((('[1]Hugo'!P18)-28)-48)-53)-52)-49)-45)-44)-57)-51)-65)-42)-57)-73)-64)-58)-33)-61)-53)-60)-61)-45)-46</f>
        <v>32</v>
      </c>
      <c r="D50" s="6">
        <f>(((((((((((((((((((((('[1]Hugo'!$O$18)-46)-68)-67)-60)-70)-59)-64)-70)-63)-72)-61)-65)-63)-72)-64)-45)-64)-67)-60)-75)-64)-67</f>
        <v>44</v>
      </c>
      <c r="E50" s="6">
        <f>(((((((((((((((((((((('[1]Hugo'!$P$12)--2)--2)-1)--2)-7)-14)--4)-5)-6)-11)-1)-6)-17)--1)-5)-2)-4)-13)-6)-4)-9)--8</f>
        <v>6</v>
      </c>
      <c r="F50" s="6">
        <f>(((((((((((((((((((((('[1]Hugo'!$P$13)-6)-9)-9)-9)-4)-3)-4)-5)-4)-6)-3)-7)-14)-10)-10)-4)-6)-2)-20)-6)-10)-8</f>
        <v>4</v>
      </c>
      <c r="G50" s="6">
        <f>(((((((((((((((((((((('[1]Hugo'!$P$14)-14)-24)-22)-14)-12)-8)-11)-19)-18)-25)-10)-24)-18)-27)-16)-11)-24)-20)-12)-25)-14)-19</f>
        <v>11</v>
      </c>
      <c r="H50" s="6">
        <f>(((((((((((((((((((((('[1]Hugo'!$P$15)-3)-8)-8)-16)-13)-7)-14)-15)-12)-9)-17)-10)-14)-13)-15)-9)-14)-9)-9)-14)-2)-14</f>
        <v>6</v>
      </c>
      <c r="I50" s="6">
        <f>(((((((((((((((((((((('[1]Hugo'!$P$16)-5)-8)-10)-8)-9)-8)-16)-13)-10)-10)-7)-9)-9)-11)-8)-4)-10)-8)-10)-6)-7)-9</f>
        <v>5</v>
      </c>
      <c r="J50" s="6">
        <f>(((((((((((((((((((((('[1]Hugo'!$P$17)-2)-1)-3)-7)-4)-5)-3)-0)-1)-4)-4)-1)-1)-4)-4)-3)-3)-1)-3)-6)-3)-4</f>
        <v>0</v>
      </c>
      <c r="K50" s="6">
        <f>(((((((((((((((((((((('[1]Hugo'!$O$34)-40)-60)-60)-53)-63)-52)-57)-61)-57)-65)-55)-56)-53)-64)-57)-40)-57)-60)-54)-67)-56)-60</f>
        <v>39</v>
      </c>
      <c r="L50" s="6">
        <f>(((((((((((((((((((((('[1]Hugo'!$P$32)-10)-22)-19)-16)-14)-11)-16)-18)-14)-20)-14)-16)-12)-15)-18)-14)-15)-20)-8)-17)-5)-20</f>
        <v>7</v>
      </c>
      <c r="M50" s="6">
        <f>(((((((((((((((((((((('[1]Hugo'!$P$33)-14)-19)-24)-29)-24)-17)-28)-29)-27)-28)-24)-28)-30)-40)-25)-13)-36)-18)-26)-34)-21)-26</f>
        <v>15</v>
      </c>
      <c r="N50" s="6">
        <f>L50+M50</f>
        <v>22</v>
      </c>
      <c r="O50" s="7">
        <f>N50/K50</f>
        <v>0.5641025641025641</v>
      </c>
      <c r="P50" s="6">
        <v>0</v>
      </c>
      <c r="Q50" s="15">
        <f t="shared" si="2"/>
        <v>-17</v>
      </c>
    </row>
    <row r="51" spans="1:17" ht="12.75">
      <c r="A51" s="4" t="s">
        <v>28</v>
      </c>
      <c r="B51" s="19" t="s">
        <v>32</v>
      </c>
      <c r="C51" s="15">
        <f>(((((((((((((((((((((('[1]Patrick B.'!P18)-35)-61)-60)-49)-64)-59)-53)-73)-55)-53)-44)-58)-61)-58)-70)-26)-59)-39)-55)-74)-49)-33</f>
        <v>29</v>
      </c>
      <c r="D51" s="6">
        <f>(((((((((((((((((((((('[1]Patrick B.'!$O$18)-43)-76)-70)-61)-66)-65)-66)-72)-67)-64)-71)-59)-72)-70)-78)-37)-58)-68)-70)-86)-72)-66</f>
        <v>43</v>
      </c>
      <c r="E51" s="6">
        <f>(((((((((((((((((((((('[1]Patrick B.'!$P$12)-9)-7)-8)-6)-17)-5)-5)-17)-8)-7)-0)-7)-8)-6)-10)-3)-7)-0)-5)-11)-2)--5</f>
        <v>0</v>
      </c>
      <c r="F51" s="6">
        <f>(((((((((((((((((((((('[1]Patrick B.'!$P$13)-4)-10)-2)-4)-6)-0)-2)-8)-7)-14)-4)-11)-9)-4)-8)-7)-14)-4)-8)-9)-9)-4</f>
        <v>4</v>
      </c>
      <c r="G51" s="6">
        <f>(((((((((((((((((((((('[1]Patrick B.'!$P$14)-9)-19)-25)-19)-17)-23)-17)-24)-18)-17)-19)-19)-12)-22)-24)-4)-16)-17)-19)-23)-12)-11</f>
        <v>12</v>
      </c>
      <c r="H51" s="6">
        <f>(((((((((((((((((((((('[1]Patrick B.'!$P$15)-6)-11)-10)-7)-10)-8)-8)-12)-11)-8)-10)-9)-13)-8)-15)-7)-15)-6)-15)-12)-13)-12</f>
        <v>6</v>
      </c>
      <c r="I51" s="6">
        <f>(((((((((((((((((((((('[1]Patrick B.'!$P$16)-6)-12)-10)-9)-13)-17)-13)-12)-8)-3)-8)-8)-13)-15)-10)-4)-7)-8)-5)-17)-11)-10</f>
        <v>5</v>
      </c>
      <c r="J51" s="6">
        <f>(((((((((((((((((((((('[1]Patrick B.'!$P$17)-1)-2)-5)-4)-1)-6)-8)-0)-3)-4)-3)-4)-6)-3)-3)-1)-0)-4)-3)-2)-2)-1</f>
        <v>2</v>
      </c>
      <c r="K51" s="6">
        <f>(((((((((((((((((((((('[1]Patrick B.'!$O$34)-39)-66)-62)-55)-56)-60)-60)-63)-60)-59)-61)-53)-63)-62)-69)-33)-50)-60)-62)-74)-63)-58</f>
        <v>37</v>
      </c>
      <c r="L51" s="6">
        <f>(((((((((((((((((((((('[1]Patrick B.'!$P$32)-7)-16)-18)-13)-19)-15)-24)-21)-14)-7)-13)-10)-11)-18)-22)-7)-14)-14)-13)-19)-13)-13</f>
        <v>9</v>
      </c>
      <c r="M51" s="6">
        <f>(((((((((((((((((((((('[1]Patrick B.'!$P$33)-15)-28)-32)-26)-22)-39)-22)-27)-26)-25)-27)-30)-33)-30)-30)-9)-24)-21)-29)-35)-25)-21</f>
        <v>16</v>
      </c>
      <c r="N51" s="6">
        <f>L51+M51</f>
        <v>25</v>
      </c>
      <c r="O51" s="7">
        <f>N51/K51</f>
        <v>0.6756756756756757</v>
      </c>
      <c r="P51" s="6">
        <v>0</v>
      </c>
      <c r="Q51" s="15">
        <f t="shared" si="2"/>
        <v>-20</v>
      </c>
    </row>
  </sheetData>
  <mergeCells count="12">
    <mergeCell ref="A7:Q7"/>
    <mergeCell ref="A20:B20"/>
    <mergeCell ref="A24:Q24"/>
    <mergeCell ref="X10:Y10"/>
    <mergeCell ref="X11:Y11"/>
    <mergeCell ref="R9:R15"/>
    <mergeCell ref="A39:Q39"/>
    <mergeCell ref="E8:J8"/>
    <mergeCell ref="E40:J40"/>
    <mergeCell ref="A37:C37"/>
    <mergeCell ref="E21:G21"/>
    <mergeCell ref="E25:J25"/>
  </mergeCells>
  <printOptions/>
  <pageMargins left="0.75" right="0.75" top="1" bottom="1" header="0.4921259845" footer="0.492125984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N75"/>
  <sheetViews>
    <sheetView workbookViewId="0" topLeftCell="A1">
      <selection activeCell="B3" sqref="B3"/>
    </sheetView>
  </sheetViews>
  <sheetFormatPr defaultColWidth="11.421875" defaultRowHeight="12.75"/>
  <cols>
    <col min="1" max="1" width="4.7109375" style="0" customWidth="1"/>
    <col min="2" max="2" width="14.7109375" style="0" customWidth="1"/>
    <col min="3" max="4" width="7.7109375" style="0" customWidth="1"/>
    <col min="5" max="5" width="5.7109375" style="0" customWidth="1"/>
    <col min="6" max="6" width="4.7109375" style="0" customWidth="1"/>
    <col min="7" max="7" width="14.7109375" style="0" customWidth="1"/>
    <col min="8" max="9" width="7.7109375" style="0" customWidth="1"/>
    <col min="10" max="10" width="5.7109375" style="0" customWidth="1"/>
    <col min="11" max="11" width="4.7109375" style="0" customWidth="1"/>
    <col min="12" max="12" width="14.7109375" style="0" customWidth="1"/>
    <col min="13" max="14" width="7.7109375" style="0" customWidth="1"/>
  </cols>
  <sheetData>
    <row r="6" ht="13.5" thickBot="1"/>
    <row r="7" spans="1:14" ht="28.5" thickBot="1">
      <c r="A7" s="141" t="s">
        <v>5</v>
      </c>
      <c r="B7" s="142"/>
      <c r="C7" s="142"/>
      <c r="D7" s="143"/>
      <c r="F7" s="141" t="s">
        <v>6</v>
      </c>
      <c r="G7" s="142"/>
      <c r="H7" s="142"/>
      <c r="I7" s="143"/>
      <c r="K7" s="141" t="s">
        <v>33</v>
      </c>
      <c r="L7" s="142"/>
      <c r="M7" s="142"/>
      <c r="N7" s="143"/>
    </row>
    <row r="8" spans="1:14" ht="12.75">
      <c r="A8" s="17" t="s">
        <v>2</v>
      </c>
      <c r="B8" s="17" t="s">
        <v>3</v>
      </c>
      <c r="C8" s="18" t="s">
        <v>31</v>
      </c>
      <c r="D8" s="18" t="s">
        <v>1</v>
      </c>
      <c r="F8" s="17" t="s">
        <v>2</v>
      </c>
      <c r="G8" s="17" t="s">
        <v>3</v>
      </c>
      <c r="H8" s="18" t="s">
        <v>31</v>
      </c>
      <c r="I8" s="18" t="s">
        <v>1</v>
      </c>
      <c r="K8" s="17" t="s">
        <v>2</v>
      </c>
      <c r="L8" s="17" t="s">
        <v>3</v>
      </c>
      <c r="M8" s="18" t="s">
        <v>31</v>
      </c>
      <c r="N8" s="18" t="s">
        <v>1</v>
      </c>
    </row>
    <row r="9" spans="1:14" ht="12.75">
      <c r="A9" s="19" t="s">
        <v>18</v>
      </c>
      <c r="B9" s="19" t="s">
        <v>72</v>
      </c>
      <c r="C9" s="16">
        <f>'[1]Gaetan'!$O$12</f>
        <v>68</v>
      </c>
      <c r="D9" s="16">
        <f>'[1]Gaetan'!$P$12</f>
        <v>144</v>
      </c>
      <c r="F9" s="4" t="s">
        <v>18</v>
      </c>
      <c r="G9" s="19" t="s">
        <v>46</v>
      </c>
      <c r="H9" s="16">
        <f>'[1]Johnny'!$O$13</f>
        <v>121</v>
      </c>
      <c r="I9" s="16">
        <f>'[1]Johnny'!$P$13</f>
        <v>183</v>
      </c>
      <c r="K9" s="4" t="s">
        <v>18</v>
      </c>
      <c r="L9" s="19" t="s">
        <v>47</v>
      </c>
      <c r="M9" s="16">
        <f>'[1]Jonathan'!$O$14</f>
        <v>519</v>
      </c>
      <c r="N9" s="16">
        <f>'[1]Jonathan'!$P$14</f>
        <v>441</v>
      </c>
    </row>
    <row r="10" spans="1:14" ht="12.75">
      <c r="A10" s="19" t="s">
        <v>20</v>
      </c>
      <c r="B10" s="19" t="s">
        <v>50</v>
      </c>
      <c r="C10" s="16">
        <f>'[1]Sylvain'!$O$12</f>
        <v>71</v>
      </c>
      <c r="D10" s="16">
        <f>'[1]Sylvain'!$P$12</f>
        <v>144</v>
      </c>
      <c r="F10" s="4" t="s">
        <v>20</v>
      </c>
      <c r="G10" s="19" t="s">
        <v>51</v>
      </c>
      <c r="H10" s="16">
        <f>'[1]Phil'!$O$13</f>
        <v>112</v>
      </c>
      <c r="I10" s="16">
        <f>'[1]Phil'!$P$13</f>
        <v>165</v>
      </c>
      <c r="K10" s="4" t="s">
        <v>20</v>
      </c>
      <c r="L10" s="19" t="s">
        <v>49</v>
      </c>
      <c r="M10" s="16">
        <f>'[1]Gilles'!$O$14</f>
        <v>535</v>
      </c>
      <c r="N10" s="16">
        <f>'[1]Gilles'!$P$14</f>
        <v>439</v>
      </c>
    </row>
    <row r="11" spans="1:14" ht="12.75">
      <c r="A11" s="19" t="s">
        <v>21</v>
      </c>
      <c r="B11" s="19" t="s">
        <v>32</v>
      </c>
      <c r="C11" s="16">
        <f>'[1]Patrick B.'!$O$12</f>
        <v>72</v>
      </c>
      <c r="D11" s="16">
        <f>'[1]Patrick B.'!$P$12</f>
        <v>143</v>
      </c>
      <c r="F11" s="4" t="s">
        <v>21</v>
      </c>
      <c r="G11" s="19" t="s">
        <v>52</v>
      </c>
      <c r="H11" s="16">
        <f>'[1]Hugo'!$O$13</f>
        <v>94</v>
      </c>
      <c r="I11" s="16">
        <f>'[1]Hugo'!$P$13</f>
        <v>163</v>
      </c>
      <c r="K11" s="4" t="s">
        <v>21</v>
      </c>
      <c r="L11" s="19" t="s">
        <v>46</v>
      </c>
      <c r="M11" s="16">
        <f>'[1]Johnny'!$O$14</f>
        <v>545</v>
      </c>
      <c r="N11" s="16">
        <f>'[1]Johnny'!$P$14</f>
        <v>434</v>
      </c>
    </row>
    <row r="12" spans="1:14" ht="12.75">
      <c r="A12" s="19" t="s">
        <v>22</v>
      </c>
      <c r="B12" s="19" t="s">
        <v>53</v>
      </c>
      <c r="C12" s="16">
        <f>'[1]Maxime'!$O$12</f>
        <v>66</v>
      </c>
      <c r="D12" s="16">
        <f>'[1]Maxime'!$P$12</f>
        <v>125</v>
      </c>
      <c r="F12" s="4" t="s">
        <v>22</v>
      </c>
      <c r="G12" s="19" t="s">
        <v>49</v>
      </c>
      <c r="H12" s="16">
        <f>'[1]Gilles'!$O$13</f>
        <v>114</v>
      </c>
      <c r="I12" s="16">
        <f>'[1]Gilles'!$P$13</f>
        <v>155</v>
      </c>
      <c r="K12" s="4" t="s">
        <v>22</v>
      </c>
      <c r="L12" s="19" t="s">
        <v>52</v>
      </c>
      <c r="M12" s="16">
        <f>'[1]Hugo'!$O$14</f>
        <v>531</v>
      </c>
      <c r="N12" s="16">
        <f>'[1]Hugo'!$P$14</f>
        <v>398</v>
      </c>
    </row>
    <row r="13" spans="1:14" ht="12.75">
      <c r="A13" s="19" t="s">
        <v>23</v>
      </c>
      <c r="B13" s="19" t="s">
        <v>46</v>
      </c>
      <c r="C13" s="16">
        <f>'[1]Johnny'!$O$12</f>
        <v>68</v>
      </c>
      <c r="D13" s="16">
        <f>'[1]Johnny'!$P$12</f>
        <v>103</v>
      </c>
      <c r="F13" s="4" t="s">
        <v>23</v>
      </c>
      <c r="G13" s="19" t="s">
        <v>32</v>
      </c>
      <c r="H13" s="16">
        <f>'[1]Patrick B.'!$O$13</f>
        <v>103</v>
      </c>
      <c r="I13" s="16">
        <f>'[1]Patrick B.'!$P$13</f>
        <v>152</v>
      </c>
      <c r="K13" s="4" t="s">
        <v>23</v>
      </c>
      <c r="L13" s="19" t="s">
        <v>32</v>
      </c>
      <c r="M13" s="16">
        <f>'[1]Patrick B.'!$O$14</f>
        <v>539</v>
      </c>
      <c r="N13" s="16">
        <f>'[1]Patrick B.'!$P$14</f>
        <v>398</v>
      </c>
    </row>
    <row r="14" spans="1:14" ht="12.75">
      <c r="A14" s="19" t="s">
        <v>24</v>
      </c>
      <c r="B14" s="19" t="s">
        <v>52</v>
      </c>
      <c r="C14" s="16">
        <f>'[1]Hugo'!$O$12</f>
        <v>70</v>
      </c>
      <c r="D14" s="16">
        <f>'[1]Hugo'!$P$12</f>
        <v>98</v>
      </c>
      <c r="F14" s="4" t="s">
        <v>24</v>
      </c>
      <c r="G14" s="19" t="s">
        <v>53</v>
      </c>
      <c r="H14" s="16">
        <f>'[1]Maxime'!$O$13</f>
        <v>100</v>
      </c>
      <c r="I14" s="16">
        <f>'[1]Maxime'!$P$13</f>
        <v>142</v>
      </c>
      <c r="K14" s="4" t="s">
        <v>24</v>
      </c>
      <c r="L14" s="19" t="s">
        <v>50</v>
      </c>
      <c r="M14" s="16">
        <f>'[1]Sylvain'!$O$14</f>
        <v>544</v>
      </c>
      <c r="N14" s="16">
        <f>'[1]Sylvain'!$P$14</f>
        <v>392</v>
      </c>
    </row>
    <row r="15" spans="1:14" ht="12.75">
      <c r="A15" s="19" t="s">
        <v>25</v>
      </c>
      <c r="B15" s="19" t="s">
        <v>51</v>
      </c>
      <c r="C15" s="16">
        <f>'[1]Phil'!$O$12</f>
        <v>69</v>
      </c>
      <c r="D15" s="16">
        <f>'[1]Phil'!$P$12</f>
        <v>84</v>
      </c>
      <c r="F15" s="4" t="s">
        <v>25</v>
      </c>
      <c r="G15" s="19" t="s">
        <v>50</v>
      </c>
      <c r="H15" s="16">
        <f>'[1]Sylvain'!$O$13</f>
        <v>98</v>
      </c>
      <c r="I15" s="16">
        <f>'[1]Sylvain'!$P$13</f>
        <v>140</v>
      </c>
      <c r="K15" s="4" t="s">
        <v>25</v>
      </c>
      <c r="L15" s="19" t="s">
        <v>48</v>
      </c>
      <c r="M15" s="16">
        <f>'[1]Patrick L.'!$O$14</f>
        <v>524</v>
      </c>
      <c r="N15" s="16">
        <f>'[1]Patrick L.'!$P$14</f>
        <v>382</v>
      </c>
    </row>
    <row r="16" spans="1:14" ht="12.75">
      <c r="A16" s="19" t="s">
        <v>26</v>
      </c>
      <c r="B16" s="19" t="s">
        <v>49</v>
      </c>
      <c r="C16" s="16">
        <f>'[1]Gilles'!$O$12</f>
        <v>68</v>
      </c>
      <c r="D16" s="16">
        <f>'[1]Gilles'!$P$12</f>
        <v>81</v>
      </c>
      <c r="F16" s="4" t="s">
        <v>26</v>
      </c>
      <c r="G16" s="19" t="s">
        <v>47</v>
      </c>
      <c r="H16" s="16">
        <f>'[1]Jonathan'!$O$13</f>
        <v>108</v>
      </c>
      <c r="I16" s="16">
        <f>'[1]Jonathan'!$P$13</f>
        <v>134</v>
      </c>
      <c r="K16" s="4" t="s">
        <v>26</v>
      </c>
      <c r="L16" s="19" t="s">
        <v>53</v>
      </c>
      <c r="M16" s="16">
        <f>'[1]Maxime'!$O$14</f>
        <v>526</v>
      </c>
      <c r="N16" s="16">
        <f>'[1]Maxime'!$P$14</f>
        <v>368</v>
      </c>
    </row>
    <row r="17" spans="1:14" ht="12.75">
      <c r="A17" s="19" t="s">
        <v>27</v>
      </c>
      <c r="B17" s="19" t="s">
        <v>47</v>
      </c>
      <c r="C17" s="16">
        <f>'[1]Jonathan'!$O$12</f>
        <v>67</v>
      </c>
      <c r="D17" s="16">
        <f>'[1]Jonathan'!$P$12</f>
        <v>78</v>
      </c>
      <c r="F17" s="4" t="s">
        <v>27</v>
      </c>
      <c r="G17" s="19" t="s">
        <v>72</v>
      </c>
      <c r="H17" s="16">
        <f>'[1]Gaetan'!$O$13</f>
        <v>105</v>
      </c>
      <c r="I17" s="16">
        <f>'[1]Gaetan'!$P$13</f>
        <v>123</v>
      </c>
      <c r="K17" s="4" t="s">
        <v>27</v>
      </c>
      <c r="L17" s="19" t="s">
        <v>51</v>
      </c>
      <c r="M17" s="16">
        <f>'[1]Phil'!$O$14</f>
        <v>511</v>
      </c>
      <c r="N17" s="16">
        <f>'[1]Phil'!$P$14</f>
        <v>346</v>
      </c>
    </row>
    <row r="18" spans="1:14" ht="13.5" thickBot="1">
      <c r="A18" s="19" t="s">
        <v>28</v>
      </c>
      <c r="B18" s="19" t="s">
        <v>48</v>
      </c>
      <c r="C18" s="16">
        <f>'[1]Patrick L.'!$O$12</f>
        <v>67</v>
      </c>
      <c r="D18" s="16">
        <f>'[1]Patrick L.'!$P$12</f>
        <v>75</v>
      </c>
      <c r="F18" s="4" t="s">
        <v>28</v>
      </c>
      <c r="G18" s="19" t="s">
        <v>48</v>
      </c>
      <c r="H18" s="16">
        <f>'[1]Patrick L.'!$O$13</f>
        <v>81</v>
      </c>
      <c r="I18" s="16">
        <f>'[1]Patrick L.'!$P$13</f>
        <v>108</v>
      </c>
      <c r="K18" s="4" t="s">
        <v>28</v>
      </c>
      <c r="L18" s="19" t="s">
        <v>72</v>
      </c>
      <c r="M18" s="16">
        <f>'[1]Gaetan'!$O$14</f>
        <v>505</v>
      </c>
      <c r="N18" s="16">
        <f>'[1]Gaetan'!$P$14</f>
        <v>316</v>
      </c>
    </row>
    <row r="19" spans="1:14" ht="13.5" thickBot="1">
      <c r="A19" s="144" t="s">
        <v>45</v>
      </c>
      <c r="B19" s="145"/>
      <c r="C19" s="146"/>
      <c r="D19" s="20">
        <f>(SUM(D9:D18))/COUNTA(B9:B18)</f>
        <v>107.5</v>
      </c>
      <c r="F19" s="144" t="s">
        <v>45</v>
      </c>
      <c r="G19" s="145"/>
      <c r="H19" s="146"/>
      <c r="I19" s="20">
        <f>(SUM(I9:I18))/COUNTA(G9:G18)</f>
        <v>146.5</v>
      </c>
      <c r="K19" s="144" t="s">
        <v>45</v>
      </c>
      <c r="L19" s="145"/>
      <c r="M19" s="146"/>
      <c r="N19" s="20">
        <f>(SUM(N9:N18))/COUNTA(L9:L18)</f>
        <v>391.4</v>
      </c>
    </row>
    <row r="20" ht="13.5" thickBot="1"/>
    <row r="21" spans="1:14" ht="28.5" thickBot="1">
      <c r="A21" s="141" t="s">
        <v>34</v>
      </c>
      <c r="B21" s="142"/>
      <c r="C21" s="142"/>
      <c r="D21" s="143"/>
      <c r="F21" s="141" t="s">
        <v>9</v>
      </c>
      <c r="G21" s="142"/>
      <c r="H21" s="142"/>
      <c r="I21" s="143"/>
      <c r="K21" s="141" t="s">
        <v>10</v>
      </c>
      <c r="L21" s="142"/>
      <c r="M21" s="142"/>
      <c r="N21" s="143"/>
    </row>
    <row r="22" spans="1:14" ht="12.75">
      <c r="A22" s="17" t="s">
        <v>2</v>
      </c>
      <c r="B22" s="17" t="s">
        <v>3</v>
      </c>
      <c r="C22" s="18" t="s">
        <v>31</v>
      </c>
      <c r="D22" s="18" t="s">
        <v>1</v>
      </c>
      <c r="F22" s="17" t="s">
        <v>2</v>
      </c>
      <c r="G22" s="17" t="s">
        <v>3</v>
      </c>
      <c r="H22" s="18" t="s">
        <v>31</v>
      </c>
      <c r="I22" s="18" t="s">
        <v>1</v>
      </c>
      <c r="K22" s="17" t="s">
        <v>2</v>
      </c>
      <c r="L22" s="17" t="s">
        <v>3</v>
      </c>
      <c r="M22" s="18" t="s">
        <v>31</v>
      </c>
      <c r="N22" s="18" t="s">
        <v>1</v>
      </c>
    </row>
    <row r="23" spans="1:14" ht="12.75">
      <c r="A23" s="4" t="s">
        <v>18</v>
      </c>
      <c r="B23" s="19" t="s">
        <v>51</v>
      </c>
      <c r="C23" s="16">
        <f>'[1]Phil'!$O$15</f>
        <v>275</v>
      </c>
      <c r="D23" s="16">
        <f>'[1]Phil'!$P$15</f>
        <v>278</v>
      </c>
      <c r="F23" s="4" t="s">
        <v>18</v>
      </c>
      <c r="G23" s="19" t="s">
        <v>50</v>
      </c>
      <c r="H23" s="16">
        <f>'[1]Sylvain'!$O$16</f>
        <v>402</v>
      </c>
      <c r="I23" s="16">
        <f>'[1]Sylvain'!$P$16</f>
        <v>228</v>
      </c>
      <c r="K23" s="4" t="s">
        <v>18</v>
      </c>
      <c r="L23" s="19" t="s">
        <v>50</v>
      </c>
      <c r="M23" s="104">
        <f>'[1]Sylvain'!$O$17</f>
        <v>100</v>
      </c>
      <c r="N23" s="16">
        <f>'[1]Sylvain'!$P$17</f>
        <v>157</v>
      </c>
    </row>
    <row r="24" spans="1:14" ht="12.75">
      <c r="A24" s="4" t="s">
        <v>20</v>
      </c>
      <c r="B24" s="19" t="s">
        <v>52</v>
      </c>
      <c r="C24" s="16">
        <f>'[1]Hugo'!$O$15</f>
        <v>268</v>
      </c>
      <c r="D24" s="16">
        <f>'[1]Hugo'!$P$15</f>
        <v>251</v>
      </c>
      <c r="F24" s="4" t="s">
        <v>20</v>
      </c>
      <c r="G24" s="19" t="s">
        <v>32</v>
      </c>
      <c r="H24" s="16">
        <f>'[1]Patrick B.'!$O$16</f>
        <v>398</v>
      </c>
      <c r="I24" s="16">
        <f>'[1]Patrick B.'!$P$16</f>
        <v>224</v>
      </c>
      <c r="K24" s="4" t="s">
        <v>20</v>
      </c>
      <c r="L24" s="19" t="s">
        <v>47</v>
      </c>
      <c r="M24" s="104">
        <f>'[1]Jonathan'!$O$17</f>
        <v>102</v>
      </c>
      <c r="N24" s="16">
        <f>'[1]Jonathan'!$P$17</f>
        <v>78</v>
      </c>
    </row>
    <row r="25" spans="1:14" ht="12.75">
      <c r="A25" s="4" t="s">
        <v>21</v>
      </c>
      <c r="B25" s="19" t="s">
        <v>49</v>
      </c>
      <c r="C25" s="16">
        <f>'[1]Gilles'!$O$15</f>
        <v>269</v>
      </c>
      <c r="D25" s="16">
        <f>'[1]Gilles'!$P$15</f>
        <v>249</v>
      </c>
      <c r="F25" s="4" t="s">
        <v>21</v>
      </c>
      <c r="G25" s="19" t="s">
        <v>53</v>
      </c>
      <c r="H25" s="16">
        <f>'[1]Maxime'!$O$16</f>
        <v>385</v>
      </c>
      <c r="I25" s="16">
        <f>'[1]Maxime'!$P$16</f>
        <v>213</v>
      </c>
      <c r="K25" s="4" t="s">
        <v>21</v>
      </c>
      <c r="L25" s="19" t="s">
        <v>32</v>
      </c>
      <c r="M25" s="16">
        <f>'[1]Patrick B.'!$O$17</f>
        <v>125</v>
      </c>
      <c r="N25" s="16">
        <f>'[1]Patrick B.'!$P$17</f>
        <v>68</v>
      </c>
    </row>
    <row r="26" spans="1:14" ht="12.75">
      <c r="A26" s="4" t="s">
        <v>22</v>
      </c>
      <c r="B26" s="19" t="s">
        <v>32</v>
      </c>
      <c r="C26" s="16">
        <f>'[1]Patrick B.'!$O$15</f>
        <v>263</v>
      </c>
      <c r="D26" s="16">
        <f>'[1]Patrick B.'!$P$15</f>
        <v>232</v>
      </c>
      <c r="F26" s="4" t="s">
        <v>22</v>
      </c>
      <c r="G26" s="19" t="s">
        <v>52</v>
      </c>
      <c r="H26" s="16">
        <f>'[1]Hugo'!$O$16</f>
        <v>359</v>
      </c>
      <c r="I26" s="16">
        <f>'[1]Hugo'!$P$16</f>
        <v>200</v>
      </c>
      <c r="K26" s="4" t="s">
        <v>22</v>
      </c>
      <c r="L26" s="19" t="s">
        <v>52</v>
      </c>
      <c r="M26" s="104">
        <f>'[1]Hugo'!$O$17</f>
        <v>128</v>
      </c>
      <c r="N26" s="16">
        <f>'[1]Hugo'!$P$17</f>
        <v>67</v>
      </c>
    </row>
    <row r="27" spans="1:14" ht="12.75">
      <c r="A27" s="4" t="s">
        <v>23</v>
      </c>
      <c r="B27" s="19" t="s">
        <v>48</v>
      </c>
      <c r="C27" s="16">
        <f>'[1]Patrick L.'!$O$15</f>
        <v>270</v>
      </c>
      <c r="D27" s="16">
        <f>'[1]Patrick L.'!$P$15</f>
        <v>231</v>
      </c>
      <c r="F27" s="4" t="s">
        <v>23</v>
      </c>
      <c r="G27" s="19" t="s">
        <v>46</v>
      </c>
      <c r="H27" s="16">
        <f>'[1]Johnny'!$O$16</f>
        <v>407</v>
      </c>
      <c r="I27" s="16">
        <f>'[1]Johnny'!$P$16</f>
        <v>199</v>
      </c>
      <c r="K27" s="4" t="s">
        <v>23</v>
      </c>
      <c r="L27" s="19" t="s">
        <v>48</v>
      </c>
      <c r="M27" s="16">
        <f>'[1]Patrick L.'!$O$17</f>
        <v>127</v>
      </c>
      <c r="N27" s="16">
        <f>'[1]Patrick L.'!$P$17</f>
        <v>57</v>
      </c>
    </row>
    <row r="28" spans="1:14" ht="12.75">
      <c r="A28" s="4" t="s">
        <v>24</v>
      </c>
      <c r="B28" s="19" t="s">
        <v>50</v>
      </c>
      <c r="C28" s="16">
        <f>'[1]Sylvain'!$O$15</f>
        <v>271</v>
      </c>
      <c r="D28" s="16">
        <f>'[1]Sylvain'!$P$15</f>
        <v>224</v>
      </c>
      <c r="F28" s="4" t="s">
        <v>24</v>
      </c>
      <c r="G28" s="19" t="s">
        <v>48</v>
      </c>
      <c r="H28" s="16">
        <f>'[1]Patrick L.'!$O$16</f>
        <v>395</v>
      </c>
      <c r="I28" s="16">
        <f>'[1]Patrick L.'!$P$16</f>
        <v>189</v>
      </c>
      <c r="K28" s="4" t="s">
        <v>24</v>
      </c>
      <c r="L28" s="19" t="s">
        <v>46</v>
      </c>
      <c r="M28" s="104">
        <f>'[1]Johnny'!$O$17</f>
        <v>128</v>
      </c>
      <c r="N28" s="16">
        <f>'[1]Johnny'!$P$17</f>
        <v>56</v>
      </c>
    </row>
    <row r="29" spans="1:14" ht="12.75">
      <c r="A29" s="4" t="s">
        <v>25</v>
      </c>
      <c r="B29" s="19" t="s">
        <v>47</v>
      </c>
      <c r="C29" s="16">
        <f>'[1]Jonathan'!$O$15</f>
        <v>270</v>
      </c>
      <c r="D29" s="16">
        <f>'[1]Jonathan'!$P$15</f>
        <v>221</v>
      </c>
      <c r="F29" s="4" t="s">
        <v>25</v>
      </c>
      <c r="G29" s="19" t="s">
        <v>49</v>
      </c>
      <c r="H29" s="16">
        <f>'[1]Gilles'!$O$16</f>
        <v>383</v>
      </c>
      <c r="I29" s="16">
        <f>'[1]Gilles'!$P$16</f>
        <v>181</v>
      </c>
      <c r="K29" s="4" t="s">
        <v>25</v>
      </c>
      <c r="L29" s="19" t="s">
        <v>49</v>
      </c>
      <c r="M29" s="104">
        <f>'[1]Gilles'!$O$17</f>
        <v>119</v>
      </c>
      <c r="N29" s="16">
        <f>'[1]Gilles'!$P$17</f>
        <v>55</v>
      </c>
    </row>
    <row r="30" spans="1:14" ht="12.75">
      <c r="A30" s="4" t="s">
        <v>26</v>
      </c>
      <c r="B30" s="19" t="s">
        <v>53</v>
      </c>
      <c r="C30" s="16">
        <f>'[1]Maxime'!$O$15</f>
        <v>269</v>
      </c>
      <c r="D30" s="16">
        <f>'[1]Maxime'!$P$15</f>
        <v>216</v>
      </c>
      <c r="F30" s="4" t="s">
        <v>26</v>
      </c>
      <c r="G30" s="19" t="s">
        <v>51</v>
      </c>
      <c r="H30" s="16">
        <f>'[1]Phil'!$O$16</f>
        <v>371</v>
      </c>
      <c r="I30" s="16">
        <f>'[1]Phil'!$P$16</f>
        <v>173</v>
      </c>
      <c r="K30" s="4" t="s">
        <v>26</v>
      </c>
      <c r="L30" s="19" t="s">
        <v>51</v>
      </c>
      <c r="M30" s="16">
        <f>'[1]Phil'!$O$17</f>
        <v>106</v>
      </c>
      <c r="N30" s="16">
        <f>'[1]Phil'!$P$17</f>
        <v>36</v>
      </c>
    </row>
    <row r="31" spans="1:14" ht="12.75">
      <c r="A31" s="4" t="s">
        <v>27</v>
      </c>
      <c r="B31" s="19" t="s">
        <v>72</v>
      </c>
      <c r="C31" s="16">
        <f>'[1]Gaetan'!$O$15</f>
        <v>254</v>
      </c>
      <c r="D31" s="16">
        <f>'[1]Gaetan'!$P$15</f>
        <v>213</v>
      </c>
      <c r="F31" s="4" t="s">
        <v>27</v>
      </c>
      <c r="G31" s="19" t="s">
        <v>72</v>
      </c>
      <c r="H31" s="16">
        <f>'[1]Gaetan'!$O$16</f>
        <v>383</v>
      </c>
      <c r="I31" s="16">
        <f>'[1]Gaetan'!$P$16</f>
        <v>165</v>
      </c>
      <c r="K31" s="4" t="s">
        <v>27</v>
      </c>
      <c r="L31" s="19" t="s">
        <v>72</v>
      </c>
      <c r="M31" s="104">
        <f>'[1]Gaetan'!$O$17</f>
        <v>71</v>
      </c>
      <c r="N31" s="16">
        <f>'[1]Gaetan'!$P$17</f>
        <v>32</v>
      </c>
    </row>
    <row r="32" spans="1:14" ht="13.5" thickBot="1">
      <c r="A32" s="4" t="s">
        <v>28</v>
      </c>
      <c r="B32" s="19" t="s">
        <v>46</v>
      </c>
      <c r="C32" s="16">
        <f>'[1]Johnny'!$O$15</f>
        <v>275</v>
      </c>
      <c r="D32" s="16">
        <f>'[1]Johnny'!$P$15</f>
        <v>212</v>
      </c>
      <c r="F32" s="4" t="s">
        <v>28</v>
      </c>
      <c r="G32" s="19" t="s">
        <v>47</v>
      </c>
      <c r="H32" s="16">
        <f>'[1]Jonathan'!$O$16</f>
        <v>398</v>
      </c>
      <c r="I32" s="16">
        <f>'[1]Jonathan'!$P$16</f>
        <v>161</v>
      </c>
      <c r="K32" s="4" t="s">
        <v>28</v>
      </c>
      <c r="L32" s="19" t="s">
        <v>53</v>
      </c>
      <c r="M32" s="104">
        <f>'[1]Maxime'!$O$17</f>
        <v>108</v>
      </c>
      <c r="N32" s="16">
        <f>'[1]Maxime'!$P$17</f>
        <v>32</v>
      </c>
    </row>
    <row r="33" spans="1:14" ht="13.5" thickBot="1">
      <c r="A33" s="144" t="s">
        <v>45</v>
      </c>
      <c r="B33" s="145"/>
      <c r="C33" s="146"/>
      <c r="D33" s="20">
        <f>(SUM(D23:D32))/COUNTA(B23:B32)</f>
        <v>232.7</v>
      </c>
      <c r="F33" s="144" t="s">
        <v>45</v>
      </c>
      <c r="G33" s="145"/>
      <c r="H33" s="146"/>
      <c r="I33" s="20">
        <f>(SUM(I23:I32))/COUNTA(G23:G32)</f>
        <v>193.3</v>
      </c>
      <c r="K33" s="144" t="s">
        <v>45</v>
      </c>
      <c r="L33" s="145"/>
      <c r="M33" s="146"/>
      <c r="N33" s="20">
        <f>(SUM(N23:N32))/COUNTA(L23:L32)</f>
        <v>63.8</v>
      </c>
    </row>
    <row r="34" ht="13.5" thickBot="1"/>
    <row r="35" spans="1:14" ht="28.5" thickBot="1">
      <c r="A35" s="141" t="s">
        <v>12</v>
      </c>
      <c r="B35" s="142"/>
      <c r="C35" s="142"/>
      <c r="D35" s="143"/>
      <c r="F35" s="141" t="s">
        <v>13</v>
      </c>
      <c r="G35" s="142"/>
      <c r="H35" s="142"/>
      <c r="I35" s="143"/>
      <c r="K35" s="147" t="s">
        <v>35</v>
      </c>
      <c r="L35" s="148"/>
      <c r="M35" s="148"/>
      <c r="N35" s="149"/>
    </row>
    <row r="36" spans="1:14" ht="12.75">
      <c r="A36" s="17" t="s">
        <v>2</v>
      </c>
      <c r="B36" s="17" t="s">
        <v>3</v>
      </c>
      <c r="C36" s="18" t="s">
        <v>31</v>
      </c>
      <c r="D36" s="18" t="s">
        <v>12</v>
      </c>
      <c r="F36" s="17" t="s">
        <v>2</v>
      </c>
      <c r="G36" s="17" t="s">
        <v>3</v>
      </c>
      <c r="H36" s="18" t="s">
        <v>31</v>
      </c>
      <c r="I36" s="18" t="s">
        <v>13</v>
      </c>
      <c r="K36" s="17" t="s">
        <v>2</v>
      </c>
      <c r="L36" s="17" t="s">
        <v>3</v>
      </c>
      <c r="M36" s="18" t="s">
        <v>31</v>
      </c>
      <c r="N36" s="18" t="s">
        <v>1</v>
      </c>
    </row>
    <row r="37" spans="1:14" ht="12.75">
      <c r="A37" s="4" t="s">
        <v>18</v>
      </c>
      <c r="B37" s="19" t="s">
        <v>49</v>
      </c>
      <c r="C37" s="16">
        <f>'[1]Gilles'!$O$34</f>
        <v>1305</v>
      </c>
      <c r="D37" s="16">
        <f>'[1]Gilles'!$P$32</f>
        <v>372</v>
      </c>
      <c r="F37" s="4" t="s">
        <v>18</v>
      </c>
      <c r="G37" s="19" t="s">
        <v>32</v>
      </c>
      <c r="H37" s="16">
        <f>'[1]Patrick B.'!$O$34</f>
        <v>1325</v>
      </c>
      <c r="I37" s="16">
        <f>'[1]Patrick B.'!$P$33</f>
        <v>592</v>
      </c>
      <c r="K37" s="4" t="s">
        <v>18</v>
      </c>
      <c r="L37" s="19" t="s">
        <v>49</v>
      </c>
      <c r="M37" s="16">
        <f>'[1]Gilles'!$O$34</f>
        <v>1305</v>
      </c>
      <c r="N37" s="16">
        <f>'[1]Gilles'!$P$34</f>
        <v>924</v>
      </c>
    </row>
    <row r="38" spans="1:14" ht="12.75">
      <c r="A38" s="4" t="s">
        <v>20</v>
      </c>
      <c r="B38" s="19" t="s">
        <v>52</v>
      </c>
      <c r="C38" s="16">
        <f>'[1]Hugo'!$O$34</f>
        <v>1286</v>
      </c>
      <c r="D38" s="16">
        <f>'[1]Hugo'!$P$32</f>
        <v>341</v>
      </c>
      <c r="F38" s="4" t="s">
        <v>20</v>
      </c>
      <c r="G38" s="19" t="s">
        <v>52</v>
      </c>
      <c r="H38" s="16">
        <f>'[1]Hugo'!$O$34</f>
        <v>1286</v>
      </c>
      <c r="I38" s="16">
        <f>'[1]Hugo'!$P$33</f>
        <v>575</v>
      </c>
      <c r="K38" s="4" t="s">
        <v>20</v>
      </c>
      <c r="L38" s="19" t="s">
        <v>32</v>
      </c>
      <c r="M38" s="16">
        <f>'[1]Patrick B.'!$O$34</f>
        <v>1325</v>
      </c>
      <c r="N38" s="16">
        <f>'[1]Patrick B.'!$P$34</f>
        <v>922</v>
      </c>
    </row>
    <row r="39" spans="1:14" ht="12.75">
      <c r="A39" s="4" t="s">
        <v>21</v>
      </c>
      <c r="B39" s="19" t="s">
        <v>48</v>
      </c>
      <c r="C39" s="16">
        <f>'[1]Patrick L.'!$O$34</f>
        <v>1316</v>
      </c>
      <c r="D39" s="16">
        <f>'[1]Patrick L.'!$P$32</f>
        <v>340</v>
      </c>
      <c r="F39" s="4" t="s">
        <v>21</v>
      </c>
      <c r="G39" s="19" t="s">
        <v>46</v>
      </c>
      <c r="H39" s="16">
        <f>'[1]Johnny'!$O$34</f>
        <v>1355</v>
      </c>
      <c r="I39" s="16">
        <f>'[1]Johnny'!$P$33</f>
        <v>574</v>
      </c>
      <c r="K39" s="4" t="s">
        <v>21</v>
      </c>
      <c r="L39" s="19" t="s">
        <v>52</v>
      </c>
      <c r="M39" s="16">
        <f>'[1]Hugo'!$O$34</f>
        <v>1286</v>
      </c>
      <c r="N39" s="16">
        <f>'[1]Hugo'!$P$34</f>
        <v>916</v>
      </c>
    </row>
    <row r="40" spans="1:14" ht="12.75">
      <c r="A40" s="4" t="s">
        <v>22</v>
      </c>
      <c r="B40" s="19" t="s">
        <v>32</v>
      </c>
      <c r="C40" s="16">
        <f>'[1]Patrick B.'!$O$34</f>
        <v>1325</v>
      </c>
      <c r="D40" s="16">
        <f>'[1]Patrick B.'!$P$32</f>
        <v>330</v>
      </c>
      <c r="F40" s="4" t="s">
        <v>22</v>
      </c>
      <c r="G40" s="19" t="s">
        <v>50</v>
      </c>
      <c r="H40" s="16">
        <f>'[1]Sylvain'!$O$34</f>
        <v>1239</v>
      </c>
      <c r="I40" s="16">
        <f>'[1]Sylvain'!$P$33</f>
        <v>553</v>
      </c>
      <c r="K40" s="4" t="s">
        <v>22</v>
      </c>
      <c r="L40" s="19" t="s">
        <v>46</v>
      </c>
      <c r="M40" s="16">
        <f>'[1]Johnny'!$O$34</f>
        <v>1355</v>
      </c>
      <c r="N40" s="16">
        <f>'[1]Johnny'!$P$34</f>
        <v>901</v>
      </c>
    </row>
    <row r="41" spans="1:14" ht="12.75">
      <c r="A41" s="4" t="s">
        <v>23</v>
      </c>
      <c r="B41" s="19" t="s">
        <v>46</v>
      </c>
      <c r="C41" s="16">
        <f>'[1]Johnny'!$O$34</f>
        <v>1355</v>
      </c>
      <c r="D41" s="16">
        <f>'[1]Johnny'!$P$32</f>
        <v>327</v>
      </c>
      <c r="F41" s="4" t="s">
        <v>23</v>
      </c>
      <c r="G41" s="19" t="s">
        <v>49</v>
      </c>
      <c r="H41" s="16">
        <f>'[1]Gilles'!$O$34</f>
        <v>1305</v>
      </c>
      <c r="I41" s="16">
        <f>'[1]Gilles'!$P$33</f>
        <v>552</v>
      </c>
      <c r="K41" s="4" t="s">
        <v>23</v>
      </c>
      <c r="L41" s="19" t="s">
        <v>48</v>
      </c>
      <c r="M41" s="16">
        <f>'[1]Patrick L.'!$O$34</f>
        <v>1316</v>
      </c>
      <c r="N41" s="16">
        <f>'[1]Patrick L.'!$P$34</f>
        <v>859</v>
      </c>
    </row>
    <row r="42" spans="1:14" ht="12.75">
      <c r="A42" s="4" t="s">
        <v>24</v>
      </c>
      <c r="B42" s="19" t="s">
        <v>47</v>
      </c>
      <c r="C42" s="16">
        <f>'[1]Jonathan'!$O$34</f>
        <v>1232</v>
      </c>
      <c r="D42" s="16">
        <f>'[1]Jonathan'!$P$32</f>
        <v>319</v>
      </c>
      <c r="F42" s="4" t="s">
        <v>24</v>
      </c>
      <c r="G42" s="19" t="s">
        <v>53</v>
      </c>
      <c r="H42" s="16">
        <f>'[1]Maxime'!$O$34</f>
        <v>1288</v>
      </c>
      <c r="I42" s="16">
        <f>'[1]Maxime'!$P$33</f>
        <v>550</v>
      </c>
      <c r="K42" s="4" t="s">
        <v>24</v>
      </c>
      <c r="L42" s="19" t="s">
        <v>50</v>
      </c>
      <c r="M42" s="16">
        <f>'[1]Sylvain'!$O$34</f>
        <v>1239</v>
      </c>
      <c r="N42" s="16">
        <f>'[1]Sylvain'!$P$34</f>
        <v>851</v>
      </c>
    </row>
    <row r="43" spans="1:14" ht="12.75">
      <c r="A43" s="4" t="s">
        <v>25</v>
      </c>
      <c r="B43" s="19" t="s">
        <v>51</v>
      </c>
      <c r="C43" s="16">
        <f>'[1]Phil'!$O$34</f>
        <v>1263</v>
      </c>
      <c r="D43" s="16">
        <f>'[1]Phil'!$P$32</f>
        <v>319</v>
      </c>
      <c r="F43" s="4" t="s">
        <v>25</v>
      </c>
      <c r="G43" s="19" t="s">
        <v>47</v>
      </c>
      <c r="H43" s="16">
        <f>'[1]Jonathan'!$O$34</f>
        <v>1232</v>
      </c>
      <c r="I43" s="16">
        <f>'[1]Jonathan'!$P$33</f>
        <v>520</v>
      </c>
      <c r="K43" s="4" t="s">
        <v>25</v>
      </c>
      <c r="L43" s="19" t="s">
        <v>47</v>
      </c>
      <c r="M43" s="16">
        <f>'[1]Jonathan'!$O$34</f>
        <v>1232</v>
      </c>
      <c r="N43" s="16">
        <f>'[1]Jonathan'!$P$34</f>
        <v>839</v>
      </c>
    </row>
    <row r="44" spans="1:14" ht="12.75">
      <c r="A44" s="4" t="s">
        <v>26</v>
      </c>
      <c r="B44" s="19" t="s">
        <v>50</v>
      </c>
      <c r="C44" s="16">
        <f>'[1]Sylvain'!$O$34</f>
        <v>1239</v>
      </c>
      <c r="D44" s="16">
        <f>'[1]Sylvain'!$P$32</f>
        <v>298</v>
      </c>
      <c r="F44" s="4" t="s">
        <v>26</v>
      </c>
      <c r="G44" s="19" t="s">
        <v>48</v>
      </c>
      <c r="H44" s="16">
        <f>'[1]Patrick L.'!$O$34</f>
        <v>1316</v>
      </c>
      <c r="I44" s="16">
        <f>'[1]Patrick L.'!$P$33</f>
        <v>519</v>
      </c>
      <c r="K44" s="4" t="s">
        <v>26</v>
      </c>
      <c r="L44" s="19" t="s">
        <v>51</v>
      </c>
      <c r="M44" s="16">
        <f>'[1]Phil'!$O$34</f>
        <v>1263</v>
      </c>
      <c r="N44" s="16">
        <f>'[1]Phil'!$P$34</f>
        <v>833</v>
      </c>
    </row>
    <row r="45" spans="1:14" ht="12.75">
      <c r="A45" s="4" t="s">
        <v>27</v>
      </c>
      <c r="B45" s="19" t="s">
        <v>72</v>
      </c>
      <c r="C45" s="16">
        <f>'[1]Gaetan'!$O$34</f>
        <v>1213</v>
      </c>
      <c r="D45" s="16">
        <f>'[1]Gaetan'!$P$32</f>
        <v>282</v>
      </c>
      <c r="F45" s="4" t="s">
        <v>27</v>
      </c>
      <c r="G45" s="19" t="s">
        <v>51</v>
      </c>
      <c r="H45" s="16">
        <f>'[1]Phil'!$O$34</f>
        <v>1263</v>
      </c>
      <c r="I45" s="16">
        <f>'[1]Phil'!$P$33</f>
        <v>514</v>
      </c>
      <c r="K45" s="4" t="s">
        <v>27</v>
      </c>
      <c r="L45" s="19" t="s">
        <v>53</v>
      </c>
      <c r="M45" s="16">
        <f>'[1]Maxime'!$O$34</f>
        <v>1288</v>
      </c>
      <c r="N45" s="16">
        <f>'[1]Maxime'!$P$34</f>
        <v>829</v>
      </c>
    </row>
    <row r="46" spans="1:14" ht="13.5" thickBot="1">
      <c r="A46" s="4" t="s">
        <v>28</v>
      </c>
      <c r="B46" s="19" t="s">
        <v>53</v>
      </c>
      <c r="C46" s="16">
        <f>'[1]Maxime'!$O$34</f>
        <v>1288</v>
      </c>
      <c r="D46" s="16">
        <f>'[1]Maxime'!$P$32</f>
        <v>279</v>
      </c>
      <c r="F46" s="4" t="s">
        <v>28</v>
      </c>
      <c r="G46" s="19" t="s">
        <v>72</v>
      </c>
      <c r="H46" s="16">
        <f>'[1]Gaetan'!$O$34</f>
        <v>1213</v>
      </c>
      <c r="I46" s="16">
        <f>'[1]Gaetan'!$P$33</f>
        <v>444</v>
      </c>
      <c r="K46" s="4" t="s">
        <v>28</v>
      </c>
      <c r="L46" s="19" t="s">
        <v>72</v>
      </c>
      <c r="M46" s="16">
        <f>'[1]Gaetan'!$O$34</f>
        <v>1213</v>
      </c>
      <c r="N46" s="16">
        <f>'[1]Gaetan'!$P$34</f>
        <v>726</v>
      </c>
    </row>
    <row r="47" spans="1:14" ht="13.5" thickBot="1">
      <c r="A47" s="144" t="s">
        <v>45</v>
      </c>
      <c r="B47" s="145"/>
      <c r="C47" s="146"/>
      <c r="D47" s="20">
        <f>(SUM(D37:D46))/COUNTA(B37:B46)</f>
        <v>320.7</v>
      </c>
      <c r="F47" s="144" t="s">
        <v>45</v>
      </c>
      <c r="G47" s="145"/>
      <c r="H47" s="146"/>
      <c r="I47" s="20">
        <f>(SUM(I37:I46))/COUNTA(G37:G46)</f>
        <v>539.3</v>
      </c>
      <c r="K47" s="144" t="s">
        <v>45</v>
      </c>
      <c r="L47" s="145"/>
      <c r="M47" s="146"/>
      <c r="N47" s="20">
        <f>(SUM(N37:N46))/COUNTA(L37:L46)</f>
        <v>860</v>
      </c>
    </row>
    <row r="48" ht="13.5" thickBot="1"/>
    <row r="49" spans="1:14" ht="28.5" customHeight="1" thickBot="1">
      <c r="A49" s="117" t="s">
        <v>36</v>
      </c>
      <c r="B49" s="150"/>
      <c r="C49" s="150"/>
      <c r="D49" s="151"/>
      <c r="F49" s="141" t="s">
        <v>37</v>
      </c>
      <c r="G49" s="142"/>
      <c r="H49" s="142"/>
      <c r="I49" s="143"/>
      <c r="K49" s="141" t="s">
        <v>38</v>
      </c>
      <c r="L49" s="142"/>
      <c r="M49" s="142"/>
      <c r="N49" s="143"/>
    </row>
    <row r="50" spans="1:14" ht="12.75">
      <c r="A50" s="17" t="s">
        <v>2</v>
      </c>
      <c r="B50" s="17" t="s">
        <v>3</v>
      </c>
      <c r="C50" s="18" t="s">
        <v>31</v>
      </c>
      <c r="D50" s="18" t="s">
        <v>54</v>
      </c>
      <c r="F50" s="17" t="s">
        <v>2</v>
      </c>
      <c r="G50" s="17" t="s">
        <v>3</v>
      </c>
      <c r="H50" s="18" t="s">
        <v>31</v>
      </c>
      <c r="I50" s="18" t="s">
        <v>1</v>
      </c>
      <c r="K50" s="17" t="s">
        <v>2</v>
      </c>
      <c r="L50" s="17" t="s">
        <v>3</v>
      </c>
      <c r="M50" s="18" t="s">
        <v>5</v>
      </c>
      <c r="N50" s="18" t="s">
        <v>55</v>
      </c>
    </row>
    <row r="51" spans="1:14" ht="12.75">
      <c r="A51" s="4" t="s">
        <v>18</v>
      </c>
      <c r="B51" s="19" t="s">
        <v>52</v>
      </c>
      <c r="C51" s="16">
        <f>'[1]Hugo'!$O$34</f>
        <v>1286</v>
      </c>
      <c r="D51" s="49">
        <f>'[1]Hugo'!$Q$34</f>
        <v>0.7122861586314152</v>
      </c>
      <c r="F51" s="4" t="s">
        <v>18</v>
      </c>
      <c r="G51" s="19" t="s">
        <v>72</v>
      </c>
      <c r="H51" s="16">
        <f>'[1]Gaetan'!$O$28</f>
        <v>878</v>
      </c>
      <c r="I51" s="16">
        <f>'[1]Gaetan'!$P$28</f>
        <v>473</v>
      </c>
      <c r="K51" s="4" t="s">
        <v>18</v>
      </c>
      <c r="L51" s="19" t="s">
        <v>49</v>
      </c>
      <c r="M51" s="99">
        <f>'[1]Gilles'!$O$39</f>
        <v>25.389954337899546</v>
      </c>
      <c r="N51" s="99">
        <f>'[1]Gilles'!$O$41</f>
        <v>25.730386052303857</v>
      </c>
    </row>
    <row r="52" spans="1:14" ht="12.75">
      <c r="A52" s="4" t="s">
        <v>20</v>
      </c>
      <c r="B52" s="19" t="s">
        <v>49</v>
      </c>
      <c r="C52" s="16">
        <f>'[1]Gilles'!$O$34</f>
        <v>1305</v>
      </c>
      <c r="D52" s="49">
        <f>'[1]Gilles'!$Q$34</f>
        <v>0.7080459770114943</v>
      </c>
      <c r="F52" s="4" t="s">
        <v>20</v>
      </c>
      <c r="G52" s="19" t="s">
        <v>49</v>
      </c>
      <c r="H52" s="16">
        <f>'[1]Gilles'!$O$28</f>
        <v>758</v>
      </c>
      <c r="I52" s="16">
        <f>'[1]Gilles'!$P$28</f>
        <v>439</v>
      </c>
      <c r="K52" s="4" t="s">
        <v>20</v>
      </c>
      <c r="L52" s="19" t="s">
        <v>51</v>
      </c>
      <c r="M52" s="99">
        <f>'[1]Phil'!$O$39</f>
        <v>27.525184404636466</v>
      </c>
      <c r="N52" s="99">
        <f>'[1]Phil'!$O$41</f>
        <v>27.044084682440847</v>
      </c>
    </row>
    <row r="53" spans="1:14" ht="12.75">
      <c r="A53" s="4" t="s">
        <v>21</v>
      </c>
      <c r="B53" s="19" t="s">
        <v>32</v>
      </c>
      <c r="C53" s="16">
        <f>'[1]Patrick B.'!$O$34</f>
        <v>1325</v>
      </c>
      <c r="D53" s="49">
        <f>'[1]Patrick B.'!$Q$34</f>
        <v>0.6958490566037736</v>
      </c>
      <c r="F53" s="4" t="s">
        <v>21</v>
      </c>
      <c r="G53" s="19" t="s">
        <v>46</v>
      </c>
      <c r="H53" s="16">
        <f>'[1]Johnny'!$O$28</f>
        <v>728</v>
      </c>
      <c r="I53" s="16">
        <f>'[1]Johnny'!$P$28</f>
        <v>434</v>
      </c>
      <c r="K53" s="4" t="s">
        <v>21</v>
      </c>
      <c r="L53" s="19" t="s">
        <v>52</v>
      </c>
      <c r="M53" s="99">
        <f>'[1]Hugo'!$O$39</f>
        <v>27.744292237442917</v>
      </c>
      <c r="N53" s="99">
        <f>'[1]Hugo'!$O$41</f>
        <v>28.02316313823163</v>
      </c>
    </row>
    <row r="54" spans="1:14" ht="12.75">
      <c r="A54" s="4" t="s">
        <v>22</v>
      </c>
      <c r="B54" s="19" t="s">
        <v>50</v>
      </c>
      <c r="C54" s="16">
        <f>'[1]Sylvain'!$O$34</f>
        <v>1239</v>
      </c>
      <c r="D54" s="49">
        <f>'[1]Sylvain'!$Q$34</f>
        <v>0.6868442292171105</v>
      </c>
      <c r="F54" s="4" t="s">
        <v>22</v>
      </c>
      <c r="G54" s="19" t="s">
        <v>53</v>
      </c>
      <c r="H54" s="16">
        <f>'[1]Maxime'!$O$28</f>
        <v>669</v>
      </c>
      <c r="I54" s="16">
        <f>'[1]Maxime'!$P$28</f>
        <v>427</v>
      </c>
      <c r="K54" s="4" t="s">
        <v>22</v>
      </c>
      <c r="L54" s="19" t="s">
        <v>46</v>
      </c>
      <c r="M54" s="99">
        <f>'[1]Johnny'!$O$39</f>
        <v>28.591289076220583</v>
      </c>
      <c r="N54" s="99">
        <f>'[1]Johnny'!$O$41</f>
        <v>28.582191780821915</v>
      </c>
    </row>
    <row r="55" spans="1:14" ht="12.75">
      <c r="A55" s="4" t="s">
        <v>23</v>
      </c>
      <c r="B55" s="19" t="s">
        <v>47</v>
      </c>
      <c r="C55" s="16">
        <f>'[1]Jonathan'!$O$34</f>
        <v>1232</v>
      </c>
      <c r="D55" s="49">
        <f>'[1]Jonathan'!$Q$34</f>
        <v>0.6810064935064936</v>
      </c>
      <c r="F55" s="4" t="s">
        <v>23</v>
      </c>
      <c r="G55" s="19" t="s">
        <v>52</v>
      </c>
      <c r="H55" s="16">
        <f>'[1]Hugo'!$O$28</f>
        <v>532</v>
      </c>
      <c r="I55" s="16">
        <f>'[1]Hugo'!$P$28</f>
        <v>419</v>
      </c>
      <c r="K55" s="4" t="s">
        <v>23</v>
      </c>
      <c r="L55" s="19" t="s">
        <v>53</v>
      </c>
      <c r="M55" s="99">
        <f>'[1]Maxime'!$O$39</f>
        <v>27.298559887600984</v>
      </c>
      <c r="N55" s="99">
        <f>'[1]Maxime'!$O$41</f>
        <v>28.969987546699873</v>
      </c>
    </row>
    <row r="56" spans="1:14" ht="12.75">
      <c r="A56" s="4" t="s">
        <v>24</v>
      </c>
      <c r="B56" s="19" t="s">
        <v>46</v>
      </c>
      <c r="C56" s="16">
        <f>'[1]Johnny'!$O$34</f>
        <v>1355</v>
      </c>
      <c r="D56" s="49">
        <f>'[1]Johnny'!$Q$34</f>
        <v>0.6649446494464945</v>
      </c>
      <c r="F56" s="4" t="s">
        <v>24</v>
      </c>
      <c r="G56" s="19" t="s">
        <v>47</v>
      </c>
      <c r="H56" s="16">
        <f>'[1]Jonathan'!$O$28</f>
        <v>716</v>
      </c>
      <c r="I56" s="16">
        <f>'[1]Jonathan'!$P$28</f>
        <v>417</v>
      </c>
      <c r="K56" s="4" t="s">
        <v>24</v>
      </c>
      <c r="L56" s="19" t="s">
        <v>32</v>
      </c>
      <c r="M56" s="99">
        <f>'[1]Patrick B.'!$O$39</f>
        <v>27.797822269055157</v>
      </c>
      <c r="N56" s="99">
        <f>'[1]Patrick B.'!$O$41</f>
        <v>29.161021170610216</v>
      </c>
    </row>
    <row r="57" spans="1:14" ht="12.75">
      <c r="A57" s="4" t="s">
        <v>25</v>
      </c>
      <c r="B57" s="19" t="s">
        <v>51</v>
      </c>
      <c r="C57" s="16">
        <f>'[1]Phil'!$O$34</f>
        <v>1263</v>
      </c>
      <c r="D57" s="49">
        <f>'[1]Phil'!$Q$34</f>
        <v>0.6595407759303247</v>
      </c>
      <c r="F57" s="4" t="s">
        <v>25</v>
      </c>
      <c r="G57" s="19" t="s">
        <v>50</v>
      </c>
      <c r="H57" s="16">
        <f>'[1]Sylvain'!$O$28</f>
        <v>679</v>
      </c>
      <c r="I57" s="16">
        <f>'[1]Sylvain'!$P$28</f>
        <v>416</v>
      </c>
      <c r="K57" s="4" t="s">
        <v>25</v>
      </c>
      <c r="L57" s="19" t="s">
        <v>72</v>
      </c>
      <c r="M57" s="99">
        <f>'[1]Gaetan'!$O$39</f>
        <v>29.542184755883383</v>
      </c>
      <c r="N57" s="99">
        <f>'[1]Gaetan'!$O$41</f>
        <v>29.23200498132005</v>
      </c>
    </row>
    <row r="58" spans="1:14" ht="12.75">
      <c r="A58" s="4" t="s">
        <v>26</v>
      </c>
      <c r="B58" s="19" t="s">
        <v>48</v>
      </c>
      <c r="C58" s="16">
        <f>'[1]Patrick L.'!$O$34</f>
        <v>1316</v>
      </c>
      <c r="D58" s="49">
        <f>'[1]Patrick L.'!$Q$34</f>
        <v>0.6527355623100304</v>
      </c>
      <c r="F58" s="4" t="s">
        <v>26</v>
      </c>
      <c r="G58" s="19" t="s">
        <v>32</v>
      </c>
      <c r="H58" s="16">
        <f>'[1]Patrick B.'!$O$28</f>
        <v>652</v>
      </c>
      <c r="I58" s="16">
        <f>'[1]Patrick B.'!$P$28</f>
        <v>406</v>
      </c>
      <c r="K58" s="4" t="s">
        <v>26</v>
      </c>
      <c r="L58" s="19" t="s">
        <v>50</v>
      </c>
      <c r="M58" s="99">
        <f>'[1]Sylvain'!$O$39</f>
        <v>28.60871092377941</v>
      </c>
      <c r="N58" s="99">
        <f>'[1]Sylvain'!$O$41</f>
        <v>29.64570361145704</v>
      </c>
    </row>
    <row r="59" spans="1:14" ht="12.75">
      <c r="A59" s="4" t="s">
        <v>27</v>
      </c>
      <c r="B59" s="19" t="s">
        <v>53</v>
      </c>
      <c r="C59" s="16">
        <f>'[1]Maxime'!$O$34</f>
        <v>1288</v>
      </c>
      <c r="D59" s="49">
        <f>'[1]Maxime'!$Q$34</f>
        <v>0.6436335403726708</v>
      </c>
      <c r="F59" s="4" t="s">
        <v>27</v>
      </c>
      <c r="G59" s="19" t="s">
        <v>48</v>
      </c>
      <c r="H59" s="16">
        <f>'[1]Patrick L.'!$O$28</f>
        <v>835</v>
      </c>
      <c r="I59" s="16">
        <f>'[1]Patrick L.'!$P$28</f>
        <v>403</v>
      </c>
      <c r="K59" s="4" t="s">
        <v>27</v>
      </c>
      <c r="L59" s="19" t="s">
        <v>48</v>
      </c>
      <c r="M59" s="99" t="e">
        <f>'[1]Patrick L.'!$O$39</f>
        <v>#REF!</v>
      </c>
      <c r="N59" s="99" t="e">
        <f>'[1]Patrick L.'!$O$41</f>
        <v>#REF!</v>
      </c>
    </row>
    <row r="60" spans="1:14" ht="13.5" thickBot="1">
      <c r="A60" s="4" t="s">
        <v>28</v>
      </c>
      <c r="B60" s="19" t="s">
        <v>72</v>
      </c>
      <c r="C60" s="16">
        <f>'[1]Gaetan'!$O$34</f>
        <v>1213</v>
      </c>
      <c r="D60" s="49">
        <f>'[1]Gaetan'!$Q$34</f>
        <v>0.5985160758450123</v>
      </c>
      <c r="F60" s="4" t="s">
        <v>28</v>
      </c>
      <c r="G60" s="19" t="s">
        <v>51</v>
      </c>
      <c r="H60" s="16">
        <f>'[1]Phil'!$O$28</f>
        <v>666</v>
      </c>
      <c r="I60" s="16">
        <f>'[1]Phil'!$P$28</f>
        <v>373</v>
      </c>
      <c r="K60" s="4" t="s">
        <v>28</v>
      </c>
      <c r="L60" s="19" t="s">
        <v>47</v>
      </c>
      <c r="M60" s="99" t="e">
        <f>'[1]Jonathan'!$O$39</f>
        <v>#REF!</v>
      </c>
      <c r="N60" s="99" t="e">
        <f>'[1]Jonathan'!$O$41</f>
        <v>#REF!</v>
      </c>
    </row>
    <row r="61" spans="1:14" ht="13.5" thickBot="1">
      <c r="A61" s="144" t="s">
        <v>45</v>
      </c>
      <c r="B61" s="145"/>
      <c r="C61" s="146"/>
      <c r="D61" s="114">
        <f>(SUM(D51:D60))/COUNTA(B51:B60)</f>
        <v>0.6703402518874818</v>
      </c>
      <c r="F61" s="144" t="s">
        <v>45</v>
      </c>
      <c r="G61" s="145"/>
      <c r="H61" s="146"/>
      <c r="I61" s="20">
        <f>(SUM(I51:I60))/COUNTA(G51:G60)</f>
        <v>420.7</v>
      </c>
      <c r="K61" s="144" t="s">
        <v>45</v>
      </c>
      <c r="L61" s="145"/>
      <c r="M61" s="146"/>
      <c r="N61" s="98" t="e">
        <f>(SUM(N51:N60))/COUNTA(L51:L60)</f>
        <v>#REF!</v>
      </c>
    </row>
    <row r="62" ht="13.5" thickBot="1"/>
    <row r="63" spans="1:14" ht="28.5" customHeight="1" thickBot="1">
      <c r="A63" s="117" t="s">
        <v>40</v>
      </c>
      <c r="B63" s="150"/>
      <c r="C63" s="150"/>
      <c r="D63" s="151"/>
      <c r="F63" s="152" t="s">
        <v>41</v>
      </c>
      <c r="G63" s="153"/>
      <c r="H63" s="153"/>
      <c r="I63" s="154"/>
      <c r="K63" s="152" t="s">
        <v>42</v>
      </c>
      <c r="L63" s="153"/>
      <c r="M63" s="153"/>
      <c r="N63" s="154"/>
    </row>
    <row r="64" spans="1:14" ht="12.75">
      <c r="A64" s="17" t="s">
        <v>2</v>
      </c>
      <c r="B64" s="17" t="s">
        <v>3</v>
      </c>
      <c r="C64" s="18" t="s">
        <v>31</v>
      </c>
      <c r="D64" s="18" t="s">
        <v>39</v>
      </c>
      <c r="F64" s="17" t="s">
        <v>2</v>
      </c>
      <c r="G64" s="17" t="s">
        <v>3</v>
      </c>
      <c r="H64" s="18" t="s">
        <v>31</v>
      </c>
      <c r="I64" s="18" t="s">
        <v>43</v>
      </c>
      <c r="K64" s="17" t="s">
        <v>2</v>
      </c>
      <c r="L64" s="17" t="s">
        <v>3</v>
      </c>
      <c r="M64" s="18" t="s">
        <v>31</v>
      </c>
      <c r="N64" s="18" t="s">
        <v>44</v>
      </c>
    </row>
    <row r="65" spans="1:14" ht="12.75">
      <c r="A65" s="4" t="s">
        <v>18</v>
      </c>
      <c r="B65" s="19" t="s">
        <v>50</v>
      </c>
      <c r="C65" s="16">
        <f>'[1]Sylvain'!$O$36</f>
        <v>176</v>
      </c>
      <c r="D65" s="16">
        <f>'[1]Sylvain'!$P$36</f>
        <v>91</v>
      </c>
      <c r="F65" s="4" t="s">
        <v>18</v>
      </c>
      <c r="G65" s="19" t="s">
        <v>50</v>
      </c>
      <c r="H65" s="16">
        <f>'[1]Sylvain'!$O$37</f>
        <v>176</v>
      </c>
      <c r="I65" s="16">
        <f>'[1]Sylvain'!$P$37</f>
        <v>12</v>
      </c>
      <c r="K65" s="4" t="s">
        <v>18</v>
      </c>
      <c r="L65" s="19" t="s">
        <v>50</v>
      </c>
      <c r="M65" s="16">
        <f>'[1]Sylvain'!$O$38</f>
        <v>176</v>
      </c>
      <c r="N65" s="16">
        <f>'[1]Sylvain'!$P$38</f>
        <v>23</v>
      </c>
    </row>
    <row r="66" spans="1:14" ht="12.75">
      <c r="A66" s="4" t="s">
        <v>20</v>
      </c>
      <c r="B66" s="19" t="s">
        <v>47</v>
      </c>
      <c r="C66" s="16">
        <f>'[1]Jonathan'!$O$36</f>
        <v>165</v>
      </c>
      <c r="D66" s="16">
        <f>'[1]Jonathan'!$P$36</f>
        <v>80</v>
      </c>
      <c r="F66" s="4" t="s">
        <v>20</v>
      </c>
      <c r="G66" s="19" t="s">
        <v>52</v>
      </c>
      <c r="H66" s="16">
        <f>'[1]Hugo'!$O$37</f>
        <v>94</v>
      </c>
      <c r="I66" s="16">
        <f>'[1]Hugo'!$P$37</f>
        <v>10</v>
      </c>
      <c r="K66" s="4" t="s">
        <v>20</v>
      </c>
      <c r="L66" s="19" t="s">
        <v>72</v>
      </c>
      <c r="M66" s="16">
        <f>'[1]Gaetan'!$O$38</f>
        <v>105</v>
      </c>
      <c r="N66" s="16">
        <f>'[1]Gaetan'!$P$38</f>
        <v>17</v>
      </c>
    </row>
    <row r="67" spans="1:14" ht="12.75">
      <c r="A67" s="4" t="s">
        <v>21</v>
      </c>
      <c r="B67" s="19" t="s">
        <v>46</v>
      </c>
      <c r="C67" s="16">
        <f>'[1]Johnny'!$O$36</f>
        <v>121</v>
      </c>
      <c r="D67" s="16">
        <f>'[1]Johnny'!$P$36</f>
        <v>67</v>
      </c>
      <c r="F67" s="4" t="s">
        <v>21</v>
      </c>
      <c r="G67" s="19" t="s">
        <v>49</v>
      </c>
      <c r="H67" s="16">
        <f>'[1]Gilles'!$O$37</f>
        <v>115</v>
      </c>
      <c r="I67" s="16">
        <f>'[1]Gilles'!$P$37</f>
        <v>9</v>
      </c>
      <c r="K67" s="4" t="s">
        <v>21</v>
      </c>
      <c r="L67" s="19" t="s">
        <v>48</v>
      </c>
      <c r="M67" s="16">
        <f>'[1]Patrick L.'!$O$38</f>
        <v>81</v>
      </c>
      <c r="N67" s="16">
        <f>'[1]Patrick L.'!$P$38</f>
        <v>16</v>
      </c>
    </row>
    <row r="68" spans="1:14" ht="12.75">
      <c r="A68" s="4" t="s">
        <v>22</v>
      </c>
      <c r="B68" s="19" t="s">
        <v>51</v>
      </c>
      <c r="C68" s="16">
        <f>'[1]Phil'!$O$36</f>
        <v>112</v>
      </c>
      <c r="D68" s="16">
        <f>'[1]Phil'!$P$36</f>
        <v>61</v>
      </c>
      <c r="F68" s="4" t="s">
        <v>22</v>
      </c>
      <c r="G68" s="19" t="s">
        <v>46</v>
      </c>
      <c r="H68" s="16">
        <f>'[1]Johnny'!$O$37</f>
        <v>121</v>
      </c>
      <c r="I68" s="16">
        <f>'[1]Johnny'!$P$37</f>
        <v>9</v>
      </c>
      <c r="K68" s="4" t="s">
        <v>22</v>
      </c>
      <c r="L68" s="19" t="s">
        <v>53</v>
      </c>
      <c r="M68" s="16">
        <f>'[1]Maxime'!$O$38</f>
        <v>100</v>
      </c>
      <c r="N68" s="16">
        <f>'[1]Maxime'!$P$38</f>
        <v>15</v>
      </c>
    </row>
    <row r="69" spans="1:14" ht="12.75">
      <c r="A69" s="4" t="s">
        <v>23</v>
      </c>
      <c r="B69" s="19" t="s">
        <v>52</v>
      </c>
      <c r="C69" s="16">
        <f>'[1]Hugo'!$O$36</f>
        <v>94</v>
      </c>
      <c r="D69" s="16">
        <f>'[1]Hugo'!$P$36</f>
        <v>57</v>
      </c>
      <c r="F69" s="4" t="s">
        <v>23</v>
      </c>
      <c r="G69" s="19" t="s">
        <v>51</v>
      </c>
      <c r="H69" s="16">
        <f>'[1]Phil'!$O$37</f>
        <v>112</v>
      </c>
      <c r="I69" s="16">
        <f>'[1]Phil'!$P$37</f>
        <v>8</v>
      </c>
      <c r="K69" s="4" t="s">
        <v>23</v>
      </c>
      <c r="L69" s="19" t="s">
        <v>32</v>
      </c>
      <c r="M69" s="16">
        <f>'[1]Patrick B.'!$O$38</f>
        <v>103</v>
      </c>
      <c r="N69" s="16">
        <f>'[1]Patrick B.'!$P$38</f>
        <v>14</v>
      </c>
    </row>
    <row r="70" spans="1:14" ht="12.75">
      <c r="A70" s="4" t="s">
        <v>24</v>
      </c>
      <c r="B70" s="19" t="s">
        <v>32</v>
      </c>
      <c r="C70" s="16">
        <f>'[1]Patrick B.'!$O$36</f>
        <v>103</v>
      </c>
      <c r="D70" s="16">
        <f>'[1]Patrick B.'!$P$36</f>
        <v>57</v>
      </c>
      <c r="F70" s="4" t="s">
        <v>24</v>
      </c>
      <c r="G70" s="19" t="s">
        <v>53</v>
      </c>
      <c r="H70" s="16">
        <f>'[1]Maxime'!$O$37</f>
        <v>100</v>
      </c>
      <c r="I70" s="16">
        <f>'[1]Maxime'!$P$37</f>
        <v>7</v>
      </c>
      <c r="K70" s="4" t="s">
        <v>24</v>
      </c>
      <c r="L70" s="19" t="s">
        <v>47</v>
      </c>
      <c r="M70" s="16">
        <f>'[1]Jonathan'!$O$38</f>
        <v>165</v>
      </c>
      <c r="N70" s="16">
        <f>'[1]Jonathan'!$P$38</f>
        <v>14</v>
      </c>
    </row>
    <row r="71" spans="1:14" ht="12.75">
      <c r="A71" s="4" t="s">
        <v>25</v>
      </c>
      <c r="B71" s="19" t="s">
        <v>49</v>
      </c>
      <c r="C71" s="16">
        <f>'[1]Gilles'!$O$36</f>
        <v>115</v>
      </c>
      <c r="D71" s="16">
        <f>'[1]Gilles'!$P$36</f>
        <v>54</v>
      </c>
      <c r="F71" s="4" t="s">
        <v>25</v>
      </c>
      <c r="G71" s="19" t="s">
        <v>32</v>
      </c>
      <c r="H71" s="16">
        <f>'[1]Patrick B.'!$O$37</f>
        <v>103</v>
      </c>
      <c r="I71" s="16">
        <f>'[1]Patrick B.'!$P$37</f>
        <v>6</v>
      </c>
      <c r="K71" s="4" t="s">
        <v>25</v>
      </c>
      <c r="L71" s="19" t="s">
        <v>46</v>
      </c>
      <c r="M71" s="16">
        <f>'[1]Johnny'!$O$38</f>
        <v>121</v>
      </c>
      <c r="N71" s="16">
        <f>'[1]Johnny'!$P$38</f>
        <v>11</v>
      </c>
    </row>
    <row r="72" spans="1:14" ht="12.75">
      <c r="A72" s="4" t="s">
        <v>26</v>
      </c>
      <c r="B72" s="19" t="s">
        <v>53</v>
      </c>
      <c r="C72" s="16">
        <f>'[1]Maxime'!$O$36</f>
        <v>100</v>
      </c>
      <c r="D72" s="16">
        <f>'[1]Maxime'!$P$36</f>
        <v>48</v>
      </c>
      <c r="F72" s="4" t="s">
        <v>26</v>
      </c>
      <c r="G72" s="19" t="s">
        <v>48</v>
      </c>
      <c r="H72" s="16">
        <f>'[1]Patrick L.'!$O$37</f>
        <v>81</v>
      </c>
      <c r="I72" s="16">
        <f>'[1]Patrick L.'!$P$37</f>
        <v>4</v>
      </c>
      <c r="K72" s="4" t="s">
        <v>26</v>
      </c>
      <c r="L72" s="19" t="s">
        <v>51</v>
      </c>
      <c r="M72" s="16">
        <f>'[1]Phil'!$O$38</f>
        <v>112</v>
      </c>
      <c r="N72" s="16">
        <f>'[1]Phil'!$P$38</f>
        <v>10</v>
      </c>
    </row>
    <row r="73" spans="1:14" ht="12.75">
      <c r="A73" s="4" t="s">
        <v>27</v>
      </c>
      <c r="B73" s="19" t="s">
        <v>72</v>
      </c>
      <c r="C73" s="16">
        <f>'[1]Gaetan'!$O$36</f>
        <v>105</v>
      </c>
      <c r="D73" s="16">
        <f>'[1]Gaetan'!$P$36</f>
        <v>47</v>
      </c>
      <c r="F73" s="4" t="s">
        <v>27</v>
      </c>
      <c r="G73" s="19" t="s">
        <v>47</v>
      </c>
      <c r="H73" s="16">
        <f>'[1]Jonathan'!$O$37</f>
        <v>165</v>
      </c>
      <c r="I73" s="16">
        <f>'[1]Jonathan'!$P$37</f>
        <v>4</v>
      </c>
      <c r="K73" s="4" t="s">
        <v>27</v>
      </c>
      <c r="L73" s="19" t="s">
        <v>52</v>
      </c>
      <c r="M73" s="16">
        <f>'[1]Hugo'!$O$38</f>
        <v>94</v>
      </c>
      <c r="N73" s="16">
        <f>'[1]Hugo'!$P$38</f>
        <v>8</v>
      </c>
    </row>
    <row r="74" spans="1:14" ht="13.5" thickBot="1">
      <c r="A74" s="4" t="s">
        <v>28</v>
      </c>
      <c r="B74" s="19" t="s">
        <v>48</v>
      </c>
      <c r="C74" s="16">
        <f>'[1]Patrick L.'!$O$36</f>
        <v>81</v>
      </c>
      <c r="D74" s="16">
        <f>'[1]Patrick L.'!$P$36</f>
        <v>37</v>
      </c>
      <c r="F74" s="4" t="s">
        <v>28</v>
      </c>
      <c r="G74" s="19" t="s">
        <v>72</v>
      </c>
      <c r="H74" s="16">
        <f>'[1]Gaetan'!$O$37</f>
        <v>105</v>
      </c>
      <c r="I74" s="16">
        <f>'[1]Gaetan'!$P$37</f>
        <v>2</v>
      </c>
      <c r="K74" s="4" t="s">
        <v>28</v>
      </c>
      <c r="L74" s="19" t="s">
        <v>49</v>
      </c>
      <c r="M74" s="16">
        <f>'[1]Gilles'!$O$38</f>
        <v>115</v>
      </c>
      <c r="N74" s="16">
        <f>'[1]Gilles'!$P$38</f>
        <v>8</v>
      </c>
    </row>
    <row r="75" spans="1:14" ht="13.5" thickBot="1">
      <c r="A75" s="144" t="s">
        <v>45</v>
      </c>
      <c r="B75" s="145"/>
      <c r="C75" s="146"/>
      <c r="D75" s="20">
        <f>(SUM(D65:D74))/COUNTA(B65:B74)</f>
        <v>59.9</v>
      </c>
      <c r="F75" s="144" t="s">
        <v>45</v>
      </c>
      <c r="G75" s="145"/>
      <c r="H75" s="146"/>
      <c r="I75" s="20">
        <f>(SUM(I65:I74))/COUNTA(G65:G74)</f>
        <v>7.1</v>
      </c>
      <c r="K75" s="144" t="s">
        <v>45</v>
      </c>
      <c r="L75" s="145"/>
      <c r="M75" s="146"/>
      <c r="N75" s="20">
        <f>(SUM(N65:N74))/COUNTA(L65:L74)</f>
        <v>13.6</v>
      </c>
    </row>
  </sheetData>
  <mergeCells count="30">
    <mergeCell ref="A75:C75"/>
    <mergeCell ref="F75:H75"/>
    <mergeCell ref="K75:M75"/>
    <mergeCell ref="A63:D63"/>
    <mergeCell ref="F63:I63"/>
    <mergeCell ref="K63:N63"/>
    <mergeCell ref="A33:C33"/>
    <mergeCell ref="F33:H33"/>
    <mergeCell ref="K33:M33"/>
    <mergeCell ref="A61:C61"/>
    <mergeCell ref="F61:H61"/>
    <mergeCell ref="K61:M61"/>
    <mergeCell ref="A35:D35"/>
    <mergeCell ref="F35:I35"/>
    <mergeCell ref="K35:N35"/>
    <mergeCell ref="A49:D49"/>
    <mergeCell ref="F49:I49"/>
    <mergeCell ref="K49:N49"/>
    <mergeCell ref="A47:C47"/>
    <mergeCell ref="F47:H47"/>
    <mergeCell ref="K47:M47"/>
    <mergeCell ref="K7:N7"/>
    <mergeCell ref="A21:D21"/>
    <mergeCell ref="F21:I21"/>
    <mergeCell ref="K21:N21"/>
    <mergeCell ref="A7:D7"/>
    <mergeCell ref="F7:I7"/>
    <mergeCell ref="A19:C19"/>
    <mergeCell ref="F19:H19"/>
    <mergeCell ref="K19:M19"/>
  </mergeCells>
  <printOptions/>
  <pageMargins left="0.75" right="0.75" top="1" bottom="1" header="0.4921259845" footer="0.492125984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M54"/>
  <sheetViews>
    <sheetView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8.8515625" style="0" customWidth="1"/>
    <col min="3" max="3" width="10.7109375" style="0" customWidth="1"/>
    <col min="4" max="4" width="9.42187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00390625" style="0" customWidth="1"/>
    <col min="9" max="9" width="12.00390625" style="0" customWidth="1"/>
    <col min="10" max="10" width="9.140625" style="0" customWidth="1"/>
    <col min="12" max="12" width="8.8515625" style="0" customWidth="1"/>
    <col min="13" max="13" width="11.8515625" style="0" customWidth="1"/>
    <col min="14" max="14" width="10.28125" style="0" customWidth="1"/>
  </cols>
  <sheetData>
    <row r="8" spans="4:7" ht="12.75">
      <c r="D8" s="156"/>
      <c r="E8" s="156"/>
      <c r="F8" s="156"/>
      <c r="G8" s="156"/>
    </row>
    <row r="9" spans="4:6" ht="17.25" customHeight="1">
      <c r="D9" s="155" t="s">
        <v>98</v>
      </c>
      <c r="E9" s="155"/>
      <c r="F9" s="155"/>
    </row>
    <row r="10" spans="1:13" ht="60" customHeight="1" thickBot="1">
      <c r="A10" s="53"/>
      <c r="B10" s="53" t="s">
        <v>56</v>
      </c>
      <c r="C10" s="55" t="s">
        <v>57</v>
      </c>
      <c r="D10" s="56" t="s">
        <v>58</v>
      </c>
      <c r="E10" s="56" t="s">
        <v>66</v>
      </c>
      <c r="F10" s="100" t="s">
        <v>59</v>
      </c>
      <c r="G10" s="54" t="s">
        <v>67</v>
      </c>
      <c r="H10" s="52" t="s">
        <v>60</v>
      </c>
      <c r="I10" s="52" t="s">
        <v>61</v>
      </c>
      <c r="J10" s="52" t="s">
        <v>62</v>
      </c>
      <c r="K10" s="52" t="s">
        <v>63</v>
      </c>
      <c r="L10" s="52" t="s">
        <v>64</v>
      </c>
      <c r="M10" s="52" t="s">
        <v>65</v>
      </c>
    </row>
    <row r="11" spans="1:13" ht="15" customHeight="1" thickTop="1">
      <c r="A11" s="51" t="s">
        <v>18</v>
      </c>
      <c r="B11" s="24" t="s">
        <v>50</v>
      </c>
      <c r="C11" s="25">
        <f>F11+G11+H11+I11+J11+K11+L11+M11</f>
        <v>70</v>
      </c>
      <c r="D11" s="57">
        <f>'[1]Sylvain'!$O$159</f>
        <v>4</v>
      </c>
      <c r="E11" s="57">
        <f>'[1]Sylvain'!$O$160</f>
        <v>10</v>
      </c>
      <c r="F11" s="101">
        <f>SUM(D11:E11)</f>
        <v>14</v>
      </c>
      <c r="G11" s="26">
        <f>'[1]Sylvain'!$O$163</f>
        <v>11</v>
      </c>
      <c r="H11" s="26">
        <f>'[1]Sylvain'!$O$164</f>
        <v>43</v>
      </c>
      <c r="I11" s="26">
        <f>'[1]Sylvain'!$O$165</f>
        <v>0</v>
      </c>
      <c r="J11" s="26">
        <f>'[1]Sylvain'!$O$166</f>
        <v>2</v>
      </c>
      <c r="K11" s="26">
        <f>'[1]Sylvain'!$O$167</f>
        <v>0</v>
      </c>
      <c r="L11" s="26">
        <f>'[1]Sylvain'!$O$168</f>
        <v>0</v>
      </c>
      <c r="M11" s="26">
        <f>'[1]Sylvain'!$O$169</f>
        <v>0</v>
      </c>
    </row>
    <row r="12" spans="1:13" ht="15" customHeight="1">
      <c r="A12" s="50" t="s">
        <v>20</v>
      </c>
      <c r="B12" s="19" t="s">
        <v>49</v>
      </c>
      <c r="C12" s="25">
        <f>F12+G12+H12+I12+J12+K12+L12+M12</f>
        <v>64</v>
      </c>
      <c r="D12" s="57">
        <f>'[1]Gilles'!$O$129</f>
        <v>0</v>
      </c>
      <c r="E12" s="57">
        <f>'[1]Gilles'!$O$130</f>
        <v>13</v>
      </c>
      <c r="F12" s="101">
        <f>SUM(D12:E12)</f>
        <v>13</v>
      </c>
      <c r="G12" s="26">
        <f>'[1]Gilles'!$O$133</f>
        <v>6</v>
      </c>
      <c r="H12" s="26">
        <f>'[1]Gilles'!$O$134</f>
        <v>39</v>
      </c>
      <c r="I12" s="26">
        <f>'[1]Gilles'!$O$135</f>
        <v>1</v>
      </c>
      <c r="J12" s="26">
        <f>'[1]Gilles'!$O$136</f>
        <v>1</v>
      </c>
      <c r="K12" s="26">
        <f>'[1]Gilles'!$O$137</f>
        <v>0</v>
      </c>
      <c r="L12" s="26">
        <f>'[1]Gilles'!$O$138</f>
        <v>2</v>
      </c>
      <c r="M12" s="26">
        <f>'[1]Gilles'!$O$139</f>
        <v>2</v>
      </c>
    </row>
    <row r="13" spans="1:13" ht="15" customHeight="1">
      <c r="A13" s="50" t="s">
        <v>21</v>
      </c>
      <c r="B13" s="19" t="s">
        <v>32</v>
      </c>
      <c r="C13" s="25">
        <f>F13+G13+H13+I13+J13+K13+L13+M13</f>
        <v>63</v>
      </c>
      <c r="D13" s="58">
        <f>'[1]Patrick B.'!$O$131</f>
        <v>7</v>
      </c>
      <c r="E13" s="58">
        <f>'[1]Patrick B.'!$O$132</f>
        <v>7</v>
      </c>
      <c r="F13" s="101">
        <f>SUM(D13:E13)</f>
        <v>14</v>
      </c>
      <c r="G13" s="6">
        <f>'[1]Patrick B.'!$O$135</f>
        <v>5</v>
      </c>
      <c r="H13" s="6">
        <f>'[1]Patrick B.'!$O$136</f>
        <v>42</v>
      </c>
      <c r="I13" s="6">
        <f>'[1]Patrick B.'!$O$137</f>
        <v>0</v>
      </c>
      <c r="J13" s="6">
        <f>'[1]Patrick B.'!$O$138</f>
        <v>0</v>
      </c>
      <c r="K13" s="6">
        <f>'[1]Patrick B.'!$O$139</f>
        <v>0</v>
      </c>
      <c r="L13" s="6">
        <f>'[1]Patrick B.'!$O$140</f>
        <v>2</v>
      </c>
      <c r="M13" s="6">
        <f>'[1]Patrick B.'!$O$141</f>
        <v>0</v>
      </c>
    </row>
    <row r="14" spans="1:13" ht="15" customHeight="1">
      <c r="A14" s="50" t="s">
        <v>22</v>
      </c>
      <c r="B14" s="19" t="s">
        <v>47</v>
      </c>
      <c r="C14" s="25">
        <f>F14+G14+H14+I14+J14+K14+L14+M14</f>
        <v>61</v>
      </c>
      <c r="D14" s="58">
        <f>'[1]Jonathan'!$O$167</f>
        <v>6</v>
      </c>
      <c r="E14" s="58">
        <f>'[1]Jonathan'!$O$168</f>
        <v>9</v>
      </c>
      <c r="F14" s="101">
        <f>SUM(D14:E14)</f>
        <v>15</v>
      </c>
      <c r="G14" s="6">
        <f>'[1]Jonathan'!$O$171</f>
        <v>3</v>
      </c>
      <c r="H14" s="6">
        <f>'[1]Jonathan'!$O$172</f>
        <v>39</v>
      </c>
      <c r="I14" s="6">
        <f>'[1]Jonathan'!$O$173</f>
        <v>0</v>
      </c>
      <c r="J14" s="6">
        <f>'[1]Jonathan'!$O$174</f>
        <v>0</v>
      </c>
      <c r="K14" s="6">
        <f>'[1]Jonathan'!$O$175</f>
        <v>0</v>
      </c>
      <c r="L14" s="6">
        <f>'[1]Jonathan'!$O$176</f>
        <v>4</v>
      </c>
      <c r="M14" s="6">
        <f>'[1]Jonathan'!$O$177</f>
        <v>0</v>
      </c>
    </row>
    <row r="15" spans="1:13" ht="15" customHeight="1">
      <c r="A15" s="50" t="s">
        <v>23</v>
      </c>
      <c r="B15" s="19" t="s">
        <v>48</v>
      </c>
      <c r="C15" s="25">
        <f>F15+G15+H15+I15+J15+K15+L15+M15</f>
        <v>58</v>
      </c>
      <c r="D15" s="57">
        <f>'[1]Patrick L.'!$O$158</f>
        <v>3</v>
      </c>
      <c r="E15" s="57">
        <f>'[1]Patrick L.'!$O$159</f>
        <v>12</v>
      </c>
      <c r="F15" s="101">
        <f>SUM(D15:E15)</f>
        <v>15</v>
      </c>
      <c r="G15" s="26">
        <f>'[1]Patrick L.'!$O$162</f>
        <v>6</v>
      </c>
      <c r="H15" s="26">
        <f>'[1]Patrick L.'!$O$163</f>
        <v>34</v>
      </c>
      <c r="I15" s="26">
        <f>'[1]Patrick L.'!$O$164</f>
        <v>0</v>
      </c>
      <c r="J15" s="26">
        <f>'[1]Patrick L.'!$O$165</f>
        <v>0</v>
      </c>
      <c r="K15" s="26">
        <f>'[1]Patrick L.'!$O$166</f>
        <v>0</v>
      </c>
      <c r="L15" s="26">
        <f>'[1]Patrick L.'!$O$167</f>
        <v>3</v>
      </c>
      <c r="M15" s="26">
        <f>'[1]Patrick L.'!$O$168</f>
        <v>0</v>
      </c>
    </row>
    <row r="16" spans="1:13" ht="15" customHeight="1">
      <c r="A16" s="50" t="s">
        <v>24</v>
      </c>
      <c r="B16" s="19" t="s">
        <v>51</v>
      </c>
      <c r="C16" s="25">
        <f>F16+G16+H16+I16+J16+K16+L16+M16</f>
        <v>49</v>
      </c>
      <c r="D16" s="57">
        <f>'[1]Phil'!$O$108</f>
        <v>1</v>
      </c>
      <c r="E16" s="57">
        <f>'[1]Phil'!$O$109</f>
        <v>4</v>
      </c>
      <c r="F16" s="101">
        <f>SUM(D16:E16)</f>
        <v>5</v>
      </c>
      <c r="G16" s="26">
        <f>'[1]Phil'!$O$112</f>
        <v>0</v>
      </c>
      <c r="H16" s="26">
        <f>'[1]Phil'!$O$113</f>
        <v>43</v>
      </c>
      <c r="I16" s="26">
        <f>'[1]Phil'!$O$114</f>
        <v>0</v>
      </c>
      <c r="J16" s="26">
        <f>'[1]Phil'!$O$115</f>
        <v>0</v>
      </c>
      <c r="K16" s="26">
        <f>'[1]Phil'!$O$116</f>
        <v>0</v>
      </c>
      <c r="L16" s="26">
        <f>'[1]Phil'!$O$117</f>
        <v>1</v>
      </c>
      <c r="M16" s="26">
        <f>'[1]Phil'!$O$118</f>
        <v>0</v>
      </c>
    </row>
    <row r="17" spans="1:13" ht="15.75" customHeight="1">
      <c r="A17" s="50" t="s">
        <v>25</v>
      </c>
      <c r="B17" s="19" t="s">
        <v>53</v>
      </c>
      <c r="C17" s="25">
        <f>F17+G17+H17+I17+J17+K17+L17+M17</f>
        <v>47</v>
      </c>
      <c r="D17" s="57">
        <f>'[1]Maxime'!$O$152</f>
        <v>4</v>
      </c>
      <c r="E17" s="57">
        <f>'[1]Maxime'!$O$153</f>
        <v>7</v>
      </c>
      <c r="F17" s="101">
        <f>SUM(D17:E17)</f>
        <v>11</v>
      </c>
      <c r="G17" s="26">
        <f>'[1]Maxime'!$O$156</f>
        <v>4</v>
      </c>
      <c r="H17" s="26">
        <f>'[1]Maxime'!$O$157</f>
        <v>26</v>
      </c>
      <c r="I17" s="26">
        <f>'[1]Maxime'!$O$158</f>
        <v>0</v>
      </c>
      <c r="J17" s="26">
        <f>'[1]Maxime'!$O$159</f>
        <v>2</v>
      </c>
      <c r="K17" s="26">
        <f>'[1]Maxime'!$O$160</f>
        <v>0</v>
      </c>
      <c r="L17" s="26">
        <f>'[1]Maxime'!$O$161</f>
        <v>4</v>
      </c>
      <c r="M17" s="26">
        <f>'[1]Maxime'!$O$162</f>
        <v>0</v>
      </c>
    </row>
    <row r="18" spans="1:13" ht="15" customHeight="1">
      <c r="A18" s="50" t="s">
        <v>26</v>
      </c>
      <c r="B18" s="19" t="s">
        <v>46</v>
      </c>
      <c r="C18" s="25">
        <f>F18+G18+H18+I18+J18+K18+L18+M18</f>
        <v>45</v>
      </c>
      <c r="D18" s="57">
        <f>'[1]Johnny'!$O$144</f>
        <v>5</v>
      </c>
      <c r="E18" s="57">
        <f>'[1]Johnny'!$O$145</f>
        <v>6</v>
      </c>
      <c r="F18" s="101">
        <f>SUM(D18:E18)</f>
        <v>11</v>
      </c>
      <c r="G18" s="26">
        <f>'[1]Johnny'!$O$148</f>
        <v>2</v>
      </c>
      <c r="H18" s="26">
        <f>'[1]Johnny'!$O$149</f>
        <v>26</v>
      </c>
      <c r="I18" s="26">
        <f>'[1]Johnny'!$O$150</f>
        <v>0</v>
      </c>
      <c r="J18" s="26">
        <f>'[1]Johnny'!$O$151</f>
        <v>2</v>
      </c>
      <c r="K18" s="26">
        <f>'[1]Johnny'!$O$152</f>
        <v>0</v>
      </c>
      <c r="L18" s="26">
        <f>'[1]Johnny'!$O$153</f>
        <v>0</v>
      </c>
      <c r="M18" s="26">
        <f>'[1]Johnny'!$O$154</f>
        <v>4</v>
      </c>
    </row>
    <row r="19" spans="1:13" ht="15" customHeight="1">
      <c r="A19" s="50" t="s">
        <v>27</v>
      </c>
      <c r="B19" s="19" t="s">
        <v>52</v>
      </c>
      <c r="C19" s="25">
        <f>F19+G19+H19+I19+J19+K19+L19+M19</f>
        <v>31</v>
      </c>
      <c r="D19" s="57">
        <f>'[1]Hugo'!$O$134</f>
        <v>4</v>
      </c>
      <c r="E19" s="57">
        <f>'[1]Hugo'!$O$135</f>
        <v>5</v>
      </c>
      <c r="F19" s="101">
        <f>SUM(D19:E19)</f>
        <v>9</v>
      </c>
      <c r="G19" s="26">
        <f>'[1]Hugo'!$O$138</f>
        <v>1</v>
      </c>
      <c r="H19" s="26">
        <f>'[1]Hugo'!$O$139</f>
        <v>21</v>
      </c>
      <c r="I19" s="26">
        <f>'[1]Hugo'!$O$140</f>
        <v>0</v>
      </c>
      <c r="J19" s="26">
        <f>'[1]Hugo'!$O$141</f>
        <v>0</v>
      </c>
      <c r="K19" s="26">
        <f>'[1]Hugo'!$O$142</f>
        <v>0</v>
      </c>
      <c r="L19" s="26">
        <f>'[1]Hugo'!$O$143</f>
        <v>0</v>
      </c>
      <c r="M19" s="26">
        <f>'[1]Hugo'!$O$144</f>
        <v>0</v>
      </c>
    </row>
    <row r="20" spans="1:13" ht="15.75" customHeight="1">
      <c r="A20" s="50" t="s">
        <v>28</v>
      </c>
      <c r="B20" s="19" t="s">
        <v>72</v>
      </c>
      <c r="C20" s="25">
        <f>F20+G20+H20+I20+J20+K20+L20+M20</f>
        <v>21</v>
      </c>
      <c r="D20" s="57">
        <f>'[1]Gaetan'!$O$135</f>
        <v>3</v>
      </c>
      <c r="E20" s="57">
        <f>'[1]Gaetan'!$O$136</f>
        <v>9</v>
      </c>
      <c r="F20" s="101">
        <f>SUM(D20:E20)</f>
        <v>12</v>
      </c>
      <c r="G20" s="26">
        <f>'[1]Gaetan'!$O$139</f>
        <v>4</v>
      </c>
      <c r="H20" s="26">
        <f>'[1]Gaetan'!$O$140</f>
        <v>4</v>
      </c>
      <c r="I20" s="26">
        <f>'[1]Gaetan'!$O$141</f>
        <v>0</v>
      </c>
      <c r="J20" s="26">
        <f>'[1]Gaetan'!$O$142</f>
        <v>0</v>
      </c>
      <c r="K20" s="26">
        <f>'[1]Gaetan'!$O$143</f>
        <v>0</v>
      </c>
      <c r="L20" s="26">
        <f>'[1]Gaetan'!$O$144</f>
        <v>1</v>
      </c>
      <c r="M20" s="26">
        <f>'[1]Gaetan'!$O$145</f>
        <v>0</v>
      </c>
    </row>
    <row r="21" spans="2:13" ht="12.75">
      <c r="B21" s="97" t="s">
        <v>77</v>
      </c>
      <c r="C21" s="96">
        <f>SUM(D21:M21)</f>
        <v>509</v>
      </c>
      <c r="D21" s="84">
        <f>SUM(D11:D20)</f>
        <v>37</v>
      </c>
      <c r="E21" s="84">
        <f>SUM(E11:E20)</f>
        <v>82</v>
      </c>
      <c r="F21" t="s">
        <v>93</v>
      </c>
      <c r="G21" s="84">
        <f>SUM(G11:G20)</f>
        <v>42</v>
      </c>
      <c r="H21" s="84">
        <f aca="true" t="shared" si="0" ref="H21:M21">SUM(H11:H20)</f>
        <v>317</v>
      </c>
      <c r="I21" s="84">
        <f t="shared" si="0"/>
        <v>1</v>
      </c>
      <c r="J21" s="84">
        <f t="shared" si="0"/>
        <v>7</v>
      </c>
      <c r="K21" s="84">
        <f t="shared" si="0"/>
        <v>0</v>
      </c>
      <c r="L21" s="84">
        <f t="shared" si="0"/>
        <v>17</v>
      </c>
      <c r="M21" s="84">
        <f t="shared" si="0"/>
        <v>6</v>
      </c>
    </row>
    <row r="23" ht="12.75">
      <c r="A23" s="59" t="s">
        <v>68</v>
      </c>
    </row>
    <row r="24" ht="12.75">
      <c r="J24" s="82"/>
    </row>
    <row r="25" spans="2:10" ht="84.75" customHeight="1" thickBot="1">
      <c r="B25" s="75" t="s">
        <v>75</v>
      </c>
      <c r="C25" s="55" t="s">
        <v>82</v>
      </c>
      <c r="D25" s="55" t="s">
        <v>81</v>
      </c>
      <c r="E25" s="55" t="s">
        <v>78</v>
      </c>
      <c r="F25" s="55" t="s">
        <v>79</v>
      </c>
      <c r="G25" s="55" t="s">
        <v>80</v>
      </c>
      <c r="H25" s="55" t="s">
        <v>83</v>
      </c>
      <c r="I25" s="55" t="s">
        <v>84</v>
      </c>
      <c r="J25" s="55" t="s">
        <v>85</v>
      </c>
    </row>
    <row r="26" spans="2:10" ht="13.5" thickTop="1">
      <c r="B26" s="76" t="s">
        <v>51</v>
      </c>
      <c r="C26" s="26">
        <v>4</v>
      </c>
      <c r="D26" s="26">
        <v>4</v>
      </c>
      <c r="E26" s="26"/>
      <c r="F26" s="26"/>
      <c r="G26" s="26"/>
      <c r="H26" s="79">
        <f aca="true" t="shared" si="1" ref="H26:H36">D26/C26</f>
        <v>1</v>
      </c>
      <c r="I26" s="79">
        <f aca="true" t="shared" si="2" ref="I26:I36">E26/C26</f>
        <v>0</v>
      </c>
      <c r="J26" s="79" t="e">
        <f aca="true" t="shared" si="3" ref="J26:J36">G26/(F26+G26)</f>
        <v>#DIV/0!</v>
      </c>
    </row>
    <row r="27" spans="2:10" ht="12.75">
      <c r="B27" s="77" t="s">
        <v>52</v>
      </c>
      <c r="C27" s="26">
        <v>5</v>
      </c>
      <c r="D27" s="26">
        <v>5</v>
      </c>
      <c r="E27" s="26"/>
      <c r="F27" s="26">
        <v>2</v>
      </c>
      <c r="G27" s="26"/>
      <c r="H27" s="79">
        <f t="shared" si="1"/>
        <v>1</v>
      </c>
      <c r="I27" s="79">
        <f t="shared" si="2"/>
        <v>0</v>
      </c>
      <c r="J27" s="79">
        <f t="shared" si="3"/>
        <v>0</v>
      </c>
    </row>
    <row r="28" spans="2:10" ht="12.75">
      <c r="B28" s="77" t="s">
        <v>72</v>
      </c>
      <c r="C28" s="6">
        <v>5</v>
      </c>
      <c r="D28" s="6">
        <v>5</v>
      </c>
      <c r="E28" s="6">
        <v>0</v>
      </c>
      <c r="F28" s="6">
        <v>1</v>
      </c>
      <c r="G28" s="26">
        <v>4</v>
      </c>
      <c r="H28" s="79">
        <f t="shared" si="1"/>
        <v>1</v>
      </c>
      <c r="I28" s="79">
        <f t="shared" si="2"/>
        <v>0</v>
      </c>
      <c r="J28" s="79">
        <f t="shared" si="3"/>
        <v>0.8</v>
      </c>
    </row>
    <row r="29" spans="2:10" ht="12.75">
      <c r="B29" s="77" t="s">
        <v>49</v>
      </c>
      <c r="C29" s="6">
        <v>10</v>
      </c>
      <c r="D29" s="6">
        <v>10</v>
      </c>
      <c r="E29" s="6"/>
      <c r="F29" s="6">
        <v>3</v>
      </c>
      <c r="G29" s="26">
        <v>3</v>
      </c>
      <c r="H29" s="79">
        <f t="shared" si="1"/>
        <v>1</v>
      </c>
      <c r="I29" s="79">
        <f t="shared" si="2"/>
        <v>0</v>
      </c>
      <c r="J29" s="79">
        <f t="shared" si="3"/>
        <v>0.5</v>
      </c>
    </row>
    <row r="30" spans="2:10" ht="12.75">
      <c r="B30" s="77" t="s">
        <v>46</v>
      </c>
      <c r="C30" s="26">
        <v>8</v>
      </c>
      <c r="D30" s="26">
        <v>6</v>
      </c>
      <c r="E30" s="26">
        <v>3</v>
      </c>
      <c r="F30" s="26">
        <v>1</v>
      </c>
      <c r="G30" s="26">
        <v>0</v>
      </c>
      <c r="H30" s="79">
        <f t="shared" si="1"/>
        <v>0.75</v>
      </c>
      <c r="I30" s="79">
        <f t="shared" si="2"/>
        <v>0.375</v>
      </c>
      <c r="J30" s="79">
        <f t="shared" si="3"/>
        <v>0</v>
      </c>
    </row>
    <row r="31" spans="2:10" ht="12.75">
      <c r="B31" s="77" t="s">
        <v>32</v>
      </c>
      <c r="C31" s="26">
        <v>8</v>
      </c>
      <c r="D31" s="26">
        <v>7</v>
      </c>
      <c r="E31" s="26"/>
      <c r="F31" s="26"/>
      <c r="G31" s="26"/>
      <c r="H31" s="79">
        <f t="shared" si="1"/>
        <v>0.875</v>
      </c>
      <c r="I31" s="79">
        <f t="shared" si="2"/>
        <v>0</v>
      </c>
      <c r="J31" s="79" t="e">
        <f t="shared" si="3"/>
        <v>#DIV/0!</v>
      </c>
    </row>
    <row r="32" spans="2:10" ht="12.75">
      <c r="B32" s="77" t="s">
        <v>48</v>
      </c>
      <c r="C32" s="26">
        <v>12</v>
      </c>
      <c r="D32" s="26">
        <v>9</v>
      </c>
      <c r="E32" s="26">
        <v>3</v>
      </c>
      <c r="F32" s="26"/>
      <c r="G32" s="26">
        <v>3</v>
      </c>
      <c r="H32" s="79">
        <f t="shared" si="1"/>
        <v>0.75</v>
      </c>
      <c r="I32" s="79">
        <f t="shared" si="2"/>
        <v>0.25</v>
      </c>
      <c r="J32" s="79">
        <f t="shared" si="3"/>
        <v>1</v>
      </c>
    </row>
    <row r="33" spans="2:10" ht="12.75">
      <c r="B33" s="77" t="s">
        <v>47</v>
      </c>
      <c r="C33" s="26">
        <v>8</v>
      </c>
      <c r="D33" s="26">
        <v>7</v>
      </c>
      <c r="E33" s="26">
        <v>1</v>
      </c>
      <c r="F33" s="26"/>
      <c r="G33" s="26">
        <v>2</v>
      </c>
      <c r="H33" s="79">
        <f t="shared" si="1"/>
        <v>0.875</v>
      </c>
      <c r="I33" s="79">
        <f t="shared" si="2"/>
        <v>0.125</v>
      </c>
      <c r="J33" s="79">
        <f t="shared" si="3"/>
        <v>1</v>
      </c>
    </row>
    <row r="34" spans="2:10" ht="12.75">
      <c r="B34" s="77" t="s">
        <v>50</v>
      </c>
      <c r="C34" s="26">
        <v>14</v>
      </c>
      <c r="D34" s="26">
        <v>10</v>
      </c>
      <c r="E34" s="26">
        <v>4</v>
      </c>
      <c r="F34" s="26"/>
      <c r="G34" s="26"/>
      <c r="H34" s="79">
        <f t="shared" si="1"/>
        <v>0.7142857142857143</v>
      </c>
      <c r="I34" s="79">
        <f t="shared" si="2"/>
        <v>0.2857142857142857</v>
      </c>
      <c r="J34" s="79" t="e">
        <f t="shared" si="3"/>
        <v>#DIV/0!</v>
      </c>
    </row>
    <row r="35" spans="2:10" ht="13.5" thickBot="1">
      <c r="B35" s="77" t="s">
        <v>53</v>
      </c>
      <c r="C35" s="80">
        <v>8</v>
      </c>
      <c r="D35" s="80">
        <v>4</v>
      </c>
      <c r="E35" s="80">
        <v>5</v>
      </c>
      <c r="F35" s="80">
        <v>1</v>
      </c>
      <c r="G35" s="80">
        <v>3</v>
      </c>
      <c r="H35" s="81">
        <f t="shared" si="1"/>
        <v>0.5</v>
      </c>
      <c r="I35" s="81">
        <f t="shared" si="2"/>
        <v>0.625</v>
      </c>
      <c r="J35" s="81">
        <f t="shared" si="3"/>
        <v>0.75</v>
      </c>
    </row>
    <row r="36" spans="2:10" ht="12.75">
      <c r="B36" s="77" t="s">
        <v>77</v>
      </c>
      <c r="C36" s="26">
        <f>SUM(C26:C35)</f>
        <v>82</v>
      </c>
      <c r="D36" s="26">
        <f>SUM(D26:D35)</f>
        <v>67</v>
      </c>
      <c r="E36" s="26">
        <f>SUM(E26:E35)</f>
        <v>16</v>
      </c>
      <c r="F36" s="26">
        <f>SUM(F26:F35)</f>
        <v>8</v>
      </c>
      <c r="G36" s="26">
        <f>SUM(G26:G35)</f>
        <v>15</v>
      </c>
      <c r="H36" s="79">
        <f t="shared" si="1"/>
        <v>0.8170731707317073</v>
      </c>
      <c r="I36" s="79">
        <f t="shared" si="2"/>
        <v>0.1951219512195122</v>
      </c>
      <c r="J36" s="83">
        <f t="shared" si="3"/>
        <v>0.6521739130434783</v>
      </c>
    </row>
    <row r="39" spans="2:8" ht="12.75">
      <c r="B39" s="78" t="s">
        <v>76</v>
      </c>
      <c r="H39" s="78"/>
    </row>
    <row r="40" ht="13.5" customHeight="1">
      <c r="B40" t="s">
        <v>111</v>
      </c>
    </row>
    <row r="41" ht="12.75">
      <c r="B41" t="s">
        <v>113</v>
      </c>
    </row>
    <row r="42" ht="12.75">
      <c r="B42" t="s">
        <v>116</v>
      </c>
    </row>
    <row r="43" ht="12.75">
      <c r="B43" t="s">
        <v>118</v>
      </c>
    </row>
    <row r="44" ht="12.75">
      <c r="B44" t="s">
        <v>119</v>
      </c>
    </row>
    <row r="45" ht="12.75">
      <c r="B45" t="s">
        <v>122</v>
      </c>
    </row>
    <row r="46" ht="12.75">
      <c r="B46" t="s">
        <v>124</v>
      </c>
    </row>
    <row r="47" ht="12.75">
      <c r="B47" t="s">
        <v>128</v>
      </c>
    </row>
    <row r="48" ht="12.75">
      <c r="B48" t="s">
        <v>129</v>
      </c>
    </row>
    <row r="49" ht="12.75">
      <c r="B49" t="s">
        <v>130</v>
      </c>
    </row>
    <row r="50" ht="12.75">
      <c r="B50" t="s">
        <v>131</v>
      </c>
    </row>
    <row r="51" ht="12.75">
      <c r="B51" t="s">
        <v>133</v>
      </c>
    </row>
    <row r="52" ht="12.75">
      <c r="B52" t="s">
        <v>134</v>
      </c>
    </row>
    <row r="53" ht="12.75">
      <c r="B53" t="s">
        <v>141</v>
      </c>
    </row>
    <row r="54" ht="12.75">
      <c r="B54" t="s">
        <v>146</v>
      </c>
    </row>
  </sheetData>
  <mergeCells count="2">
    <mergeCell ref="D9:F9"/>
    <mergeCell ref="D8:G8"/>
  </mergeCells>
  <printOptions/>
  <pageMargins left="0.75" right="0.75" top="1" bottom="1" header="0.4921259845" footer="0.4921259845"/>
  <pageSetup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7:Q329"/>
  <sheetViews>
    <sheetView workbookViewId="0" topLeftCell="A1">
      <selection activeCell="E35" sqref="E35"/>
    </sheetView>
  </sheetViews>
  <sheetFormatPr defaultColWidth="11.421875" defaultRowHeight="12.75"/>
  <cols>
    <col min="1" max="1" width="4.57421875" style="0" customWidth="1"/>
    <col min="2" max="2" width="14.7109375" style="0" customWidth="1"/>
    <col min="3" max="5" width="7.7109375" style="0" customWidth="1"/>
    <col min="7" max="17" width="7.7109375" style="0" customWidth="1"/>
  </cols>
  <sheetData>
    <row r="6" ht="13.5" thickBot="1"/>
    <row r="7" spans="5:9" ht="20.25" customHeight="1" thickBot="1">
      <c r="E7" s="157" t="s">
        <v>70</v>
      </c>
      <c r="F7" s="158"/>
      <c r="G7" s="158"/>
      <c r="H7" s="158"/>
      <c r="I7" s="159"/>
    </row>
    <row r="8" spans="5:9" ht="12.75" customHeight="1">
      <c r="E8" s="1"/>
      <c r="F8" s="160"/>
      <c r="G8" s="160"/>
      <c r="H8" s="160"/>
      <c r="I8" s="160"/>
    </row>
    <row r="9" spans="5:9" ht="65.25" thickBot="1">
      <c r="E9" s="45" t="s">
        <v>2</v>
      </c>
      <c r="F9" s="45" t="s">
        <v>3</v>
      </c>
      <c r="G9" s="46" t="s">
        <v>55</v>
      </c>
      <c r="H9" s="37" t="s">
        <v>94</v>
      </c>
      <c r="I9" s="37" t="s">
        <v>69</v>
      </c>
    </row>
    <row r="10" spans="5:9" ht="12.75">
      <c r="E10" s="23" t="s">
        <v>18</v>
      </c>
      <c r="F10" s="24" t="s">
        <v>50</v>
      </c>
      <c r="G10" s="25">
        <f aca="true" t="shared" si="0" ref="G10:G19">SUM(H10:I10)</f>
        <v>11</v>
      </c>
      <c r="H10" s="26">
        <v>7</v>
      </c>
      <c r="I10" s="26">
        <v>4</v>
      </c>
    </row>
    <row r="11" spans="5:9" ht="12.75">
      <c r="E11" s="4" t="s">
        <v>20</v>
      </c>
      <c r="F11" s="19" t="s">
        <v>32</v>
      </c>
      <c r="G11" s="25">
        <f t="shared" si="0"/>
        <v>7</v>
      </c>
      <c r="H11" s="6">
        <v>4</v>
      </c>
      <c r="I11" s="6">
        <v>3</v>
      </c>
    </row>
    <row r="12" spans="5:9" ht="12.75">
      <c r="E12" s="4" t="s">
        <v>21</v>
      </c>
      <c r="F12" s="19" t="s">
        <v>48</v>
      </c>
      <c r="G12" s="25">
        <f t="shared" si="0"/>
        <v>6</v>
      </c>
      <c r="H12" s="6"/>
      <c r="I12" s="6">
        <v>6</v>
      </c>
    </row>
    <row r="13" spans="5:9" ht="12.75">
      <c r="E13" s="4" t="s">
        <v>22</v>
      </c>
      <c r="F13" s="19" t="s">
        <v>49</v>
      </c>
      <c r="G13" s="25">
        <f t="shared" si="0"/>
        <v>6</v>
      </c>
      <c r="H13" s="6">
        <v>1</v>
      </c>
      <c r="I13" s="6">
        <v>5</v>
      </c>
    </row>
    <row r="14" spans="5:9" ht="12.75">
      <c r="E14" s="4" t="s">
        <v>23</v>
      </c>
      <c r="F14" s="19" t="s">
        <v>51</v>
      </c>
      <c r="G14" s="25">
        <f t="shared" si="0"/>
        <v>6</v>
      </c>
      <c r="H14" s="6">
        <v>3</v>
      </c>
      <c r="I14" s="6">
        <v>3</v>
      </c>
    </row>
    <row r="15" spans="5:9" ht="12.75">
      <c r="E15" s="4" t="s">
        <v>24</v>
      </c>
      <c r="F15" s="19" t="s">
        <v>46</v>
      </c>
      <c r="G15" s="25">
        <f t="shared" si="0"/>
        <v>5</v>
      </c>
      <c r="H15" s="6">
        <v>4</v>
      </c>
      <c r="I15" s="6">
        <v>1</v>
      </c>
    </row>
    <row r="16" spans="5:9" ht="12.75">
      <c r="E16" s="4" t="s">
        <v>25</v>
      </c>
      <c r="F16" s="19" t="s">
        <v>53</v>
      </c>
      <c r="G16" s="25">
        <f t="shared" si="0"/>
        <v>4</v>
      </c>
      <c r="H16" s="6">
        <v>2</v>
      </c>
      <c r="I16" s="6">
        <v>2</v>
      </c>
    </row>
    <row r="17" spans="5:9" ht="11.25" customHeight="1">
      <c r="E17" s="4" t="s">
        <v>26</v>
      </c>
      <c r="F17" s="19" t="s">
        <v>72</v>
      </c>
      <c r="G17" s="25">
        <f t="shared" si="0"/>
        <v>2</v>
      </c>
      <c r="H17" s="6"/>
      <c r="I17" s="6">
        <v>2</v>
      </c>
    </row>
    <row r="18" spans="5:9" ht="12.75">
      <c r="E18" s="4" t="s">
        <v>27</v>
      </c>
      <c r="F18" s="19" t="s">
        <v>52</v>
      </c>
      <c r="G18" s="25">
        <f t="shared" si="0"/>
        <v>1</v>
      </c>
      <c r="H18" s="6"/>
      <c r="I18" s="6">
        <v>1</v>
      </c>
    </row>
    <row r="19" spans="5:9" ht="12.75">
      <c r="E19" s="4" t="s">
        <v>28</v>
      </c>
      <c r="F19" s="19" t="s">
        <v>47</v>
      </c>
      <c r="G19" s="25">
        <f t="shared" si="0"/>
        <v>1</v>
      </c>
      <c r="H19" s="6">
        <v>1</v>
      </c>
      <c r="I19" s="6">
        <v>0</v>
      </c>
    </row>
    <row r="20" spans="5:8" ht="12.75">
      <c r="E20" s="61"/>
      <c r="F20" s="62"/>
      <c r="G20" s="64"/>
      <c r="H20" s="63">
        <f>SUM(H10:H19)</f>
        <v>22</v>
      </c>
    </row>
    <row r="21" spans="5:8" ht="13.5" thickBot="1">
      <c r="E21" s="61"/>
      <c r="F21" s="62"/>
      <c r="G21" s="64"/>
      <c r="H21" s="63"/>
    </row>
    <row r="22" spans="1:17" ht="27.75">
      <c r="A22" s="118" t="s">
        <v>151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</row>
    <row r="23" spans="1:17" ht="12.75">
      <c r="A23" s="3"/>
      <c r="B23" s="3"/>
      <c r="C23" s="3"/>
      <c r="D23" s="3"/>
      <c r="E23" s="122" t="s">
        <v>1</v>
      </c>
      <c r="F23" s="122"/>
      <c r="G23" s="122"/>
      <c r="H23" s="122"/>
      <c r="I23" s="122"/>
      <c r="J23" s="122"/>
      <c r="K23" s="14"/>
      <c r="L23" s="1"/>
      <c r="M23" s="1"/>
      <c r="N23" s="1"/>
      <c r="O23" s="1"/>
      <c r="P23" s="1"/>
      <c r="Q23" s="1"/>
    </row>
    <row r="24" spans="1:17" ht="65.25" thickBot="1">
      <c r="A24" s="33" t="s">
        <v>2</v>
      </c>
      <c r="B24" s="33" t="s">
        <v>3</v>
      </c>
      <c r="C24" s="34" t="s">
        <v>1</v>
      </c>
      <c r="D24" s="35" t="s">
        <v>4</v>
      </c>
      <c r="E24" s="36" t="s">
        <v>5</v>
      </c>
      <c r="F24" s="36" t="s">
        <v>6</v>
      </c>
      <c r="G24" s="36" t="s">
        <v>7</v>
      </c>
      <c r="H24" s="36" t="s">
        <v>8</v>
      </c>
      <c r="I24" s="36" t="s">
        <v>9</v>
      </c>
      <c r="J24" s="36" t="s">
        <v>10</v>
      </c>
      <c r="K24" s="37" t="s">
        <v>11</v>
      </c>
      <c r="L24" s="37" t="s">
        <v>12</v>
      </c>
      <c r="M24" s="37" t="s">
        <v>13</v>
      </c>
      <c r="N24" s="37" t="s">
        <v>14</v>
      </c>
      <c r="O24" s="38" t="s">
        <v>15</v>
      </c>
      <c r="P24" s="38" t="s">
        <v>16</v>
      </c>
      <c r="Q24" s="39" t="s">
        <v>17</v>
      </c>
    </row>
    <row r="25" spans="1:17" ht="12.75">
      <c r="A25" s="23" t="s">
        <v>18</v>
      </c>
      <c r="B25" s="24" t="s">
        <v>51</v>
      </c>
      <c r="C25" s="31">
        <v>69</v>
      </c>
      <c r="D25" s="26">
        <v>70</v>
      </c>
      <c r="E25" s="26">
        <v>14</v>
      </c>
      <c r="F25" s="26">
        <v>8</v>
      </c>
      <c r="G25" s="26">
        <v>20</v>
      </c>
      <c r="H25" s="26">
        <v>12</v>
      </c>
      <c r="I25" s="26">
        <v>13</v>
      </c>
      <c r="J25" s="26">
        <v>2</v>
      </c>
      <c r="K25" s="26">
        <v>62</v>
      </c>
      <c r="L25" s="26">
        <v>21</v>
      </c>
      <c r="M25" s="26">
        <v>26</v>
      </c>
      <c r="N25" s="26">
        <v>47</v>
      </c>
      <c r="O25" s="27">
        <v>0.7580645161290323</v>
      </c>
      <c r="P25" s="26">
        <v>0</v>
      </c>
      <c r="Q25" s="32" t="s">
        <v>19</v>
      </c>
    </row>
    <row r="26" spans="1:17" ht="12.75">
      <c r="A26" s="4" t="s">
        <v>20</v>
      </c>
      <c r="B26" s="19" t="s">
        <v>53</v>
      </c>
      <c r="C26" s="15">
        <v>58</v>
      </c>
      <c r="D26" s="6">
        <v>66</v>
      </c>
      <c r="E26" s="6">
        <v>5</v>
      </c>
      <c r="F26" s="6">
        <v>6</v>
      </c>
      <c r="G26" s="6">
        <v>21</v>
      </c>
      <c r="H26" s="6">
        <v>15</v>
      </c>
      <c r="I26" s="6">
        <v>7</v>
      </c>
      <c r="J26" s="6">
        <v>4</v>
      </c>
      <c r="K26" s="6">
        <v>58</v>
      </c>
      <c r="L26" s="6">
        <v>20</v>
      </c>
      <c r="M26" s="6">
        <v>27</v>
      </c>
      <c r="N26" s="6">
        <v>47</v>
      </c>
      <c r="O26" s="7">
        <v>0.8103448275862069</v>
      </c>
      <c r="P26" s="6">
        <v>0</v>
      </c>
      <c r="Q26" s="15">
        <v>-11</v>
      </c>
    </row>
    <row r="27" spans="1:17" ht="12.75">
      <c r="A27" s="4" t="s">
        <v>21</v>
      </c>
      <c r="B27" s="19" t="s">
        <v>47</v>
      </c>
      <c r="C27" s="15">
        <v>57</v>
      </c>
      <c r="D27" s="6">
        <v>63</v>
      </c>
      <c r="E27" s="6">
        <v>4</v>
      </c>
      <c r="F27" s="6">
        <v>2</v>
      </c>
      <c r="G27" s="6">
        <v>16</v>
      </c>
      <c r="H27" s="6">
        <v>22</v>
      </c>
      <c r="I27" s="6">
        <v>5</v>
      </c>
      <c r="J27" s="6">
        <v>8</v>
      </c>
      <c r="K27" s="6">
        <v>50</v>
      </c>
      <c r="L27" s="6">
        <v>18</v>
      </c>
      <c r="M27" s="6">
        <v>25</v>
      </c>
      <c r="N27" s="6">
        <v>43</v>
      </c>
      <c r="O27" s="7">
        <v>0.86</v>
      </c>
      <c r="P27" s="6">
        <v>0</v>
      </c>
      <c r="Q27" s="15">
        <v>-12</v>
      </c>
    </row>
    <row r="28" spans="1:17" ht="12.75">
      <c r="A28" s="4" t="s">
        <v>22</v>
      </c>
      <c r="B28" s="19" t="s">
        <v>50</v>
      </c>
      <c r="C28" s="15">
        <v>57</v>
      </c>
      <c r="D28" s="6">
        <v>75</v>
      </c>
      <c r="E28" s="6">
        <v>1</v>
      </c>
      <c r="F28" s="6">
        <v>8</v>
      </c>
      <c r="G28" s="6">
        <v>22</v>
      </c>
      <c r="H28" s="6">
        <v>12</v>
      </c>
      <c r="I28" s="6">
        <v>6</v>
      </c>
      <c r="J28" s="6">
        <v>8</v>
      </c>
      <c r="K28" s="6">
        <v>59</v>
      </c>
      <c r="L28" s="6">
        <v>18</v>
      </c>
      <c r="M28" s="6">
        <v>22</v>
      </c>
      <c r="N28" s="6">
        <v>40</v>
      </c>
      <c r="O28" s="7">
        <v>0.6779661016949152</v>
      </c>
      <c r="P28" s="6">
        <v>0</v>
      </c>
      <c r="Q28" s="15">
        <v>-12</v>
      </c>
    </row>
    <row r="29" spans="1:17" ht="12.75">
      <c r="A29" s="4" t="s">
        <v>23</v>
      </c>
      <c r="B29" s="19" t="s">
        <v>46</v>
      </c>
      <c r="C29" s="15">
        <v>53</v>
      </c>
      <c r="D29" s="6">
        <v>67</v>
      </c>
      <c r="E29" s="6">
        <v>4</v>
      </c>
      <c r="F29" s="6">
        <v>6</v>
      </c>
      <c r="G29" s="6">
        <v>26</v>
      </c>
      <c r="H29" s="6">
        <v>6</v>
      </c>
      <c r="I29" s="6">
        <v>10</v>
      </c>
      <c r="J29" s="6">
        <v>1</v>
      </c>
      <c r="K29" s="6">
        <v>57</v>
      </c>
      <c r="L29" s="6">
        <v>18</v>
      </c>
      <c r="M29" s="6">
        <v>25</v>
      </c>
      <c r="N29" s="6">
        <v>43</v>
      </c>
      <c r="O29" s="7">
        <v>0.7543859649122807</v>
      </c>
      <c r="P29" s="6">
        <v>0</v>
      </c>
      <c r="Q29" s="15">
        <v>-16</v>
      </c>
    </row>
    <row r="30" spans="1:17" ht="12.75">
      <c r="A30" s="4" t="s">
        <v>24</v>
      </c>
      <c r="B30" s="19" t="s">
        <v>49</v>
      </c>
      <c r="C30" s="15">
        <v>48</v>
      </c>
      <c r="D30" s="6">
        <v>74</v>
      </c>
      <c r="E30" s="6">
        <v>-6</v>
      </c>
      <c r="F30" s="6">
        <v>8</v>
      </c>
      <c r="G30" s="6">
        <v>23</v>
      </c>
      <c r="H30" s="6">
        <v>9</v>
      </c>
      <c r="I30" s="6">
        <v>8</v>
      </c>
      <c r="J30" s="6">
        <v>6</v>
      </c>
      <c r="K30" s="6">
        <v>67</v>
      </c>
      <c r="L30" s="6">
        <v>19</v>
      </c>
      <c r="M30" s="6">
        <v>27</v>
      </c>
      <c r="N30" s="6">
        <v>46</v>
      </c>
      <c r="O30" s="7">
        <v>0.6865671641791045</v>
      </c>
      <c r="P30" s="6">
        <v>0</v>
      </c>
      <c r="Q30" s="15">
        <v>-21</v>
      </c>
    </row>
    <row r="31" spans="1:17" ht="12.75">
      <c r="A31" s="4" t="s">
        <v>25</v>
      </c>
      <c r="B31" s="19" t="s">
        <v>52</v>
      </c>
      <c r="C31" s="15">
        <v>46</v>
      </c>
      <c r="D31" s="6">
        <v>67</v>
      </c>
      <c r="E31" s="6">
        <v>-8</v>
      </c>
      <c r="F31" s="6">
        <v>8</v>
      </c>
      <c r="G31" s="6">
        <v>19</v>
      </c>
      <c r="H31" s="6">
        <v>14</v>
      </c>
      <c r="I31" s="6">
        <v>9</v>
      </c>
      <c r="J31" s="6">
        <v>4</v>
      </c>
      <c r="K31" s="6">
        <v>60</v>
      </c>
      <c r="L31" s="6">
        <v>20</v>
      </c>
      <c r="M31" s="6">
        <v>26</v>
      </c>
      <c r="N31" s="6">
        <v>46</v>
      </c>
      <c r="O31" s="7">
        <v>0.7666666666666667</v>
      </c>
      <c r="P31" s="6">
        <v>0</v>
      </c>
      <c r="Q31" s="15">
        <v>-23</v>
      </c>
    </row>
    <row r="32" spans="1:17" ht="12.75">
      <c r="A32" s="4" t="s">
        <v>26</v>
      </c>
      <c r="B32" s="19" t="s">
        <v>32</v>
      </c>
      <c r="C32" s="15">
        <v>33</v>
      </c>
      <c r="D32" s="26">
        <v>66</v>
      </c>
      <c r="E32" s="26">
        <v>-5</v>
      </c>
      <c r="F32" s="26">
        <v>4</v>
      </c>
      <c r="G32" s="26">
        <v>11</v>
      </c>
      <c r="H32" s="26">
        <v>12</v>
      </c>
      <c r="I32" s="26">
        <v>10</v>
      </c>
      <c r="J32" s="26">
        <v>1</v>
      </c>
      <c r="K32" s="26">
        <v>58</v>
      </c>
      <c r="L32" s="26">
        <v>13</v>
      </c>
      <c r="M32" s="26">
        <v>21</v>
      </c>
      <c r="N32" s="6">
        <v>34</v>
      </c>
      <c r="O32" s="7">
        <v>0.5862068965517241</v>
      </c>
      <c r="P32" s="6">
        <v>0</v>
      </c>
      <c r="Q32" s="15">
        <v>-36</v>
      </c>
    </row>
    <row r="33" spans="1:17" ht="12.75">
      <c r="A33" s="4" t="s">
        <v>27</v>
      </c>
      <c r="B33" s="19" t="s">
        <v>72</v>
      </c>
      <c r="C33" s="15">
        <v>31</v>
      </c>
      <c r="D33" s="6">
        <v>65</v>
      </c>
      <c r="E33" s="6">
        <v>4</v>
      </c>
      <c r="F33" s="6">
        <v>3</v>
      </c>
      <c r="G33" s="6">
        <v>9</v>
      </c>
      <c r="H33" s="6">
        <v>11</v>
      </c>
      <c r="I33" s="6">
        <v>3</v>
      </c>
      <c r="J33" s="6">
        <v>1</v>
      </c>
      <c r="K33" s="6">
        <v>59</v>
      </c>
      <c r="L33" s="6">
        <v>11</v>
      </c>
      <c r="M33" s="6">
        <v>13</v>
      </c>
      <c r="N33" s="6">
        <v>24</v>
      </c>
      <c r="O33" s="7">
        <v>0.4067796610169492</v>
      </c>
      <c r="P33" s="6">
        <v>0</v>
      </c>
      <c r="Q33" s="15">
        <v>-38</v>
      </c>
    </row>
    <row r="34" spans="1:17" ht="12.75">
      <c r="A34" s="4" t="s">
        <v>28</v>
      </c>
      <c r="B34" s="19" t="s">
        <v>48</v>
      </c>
      <c r="C34" s="15">
        <v>30</v>
      </c>
      <c r="D34" s="6">
        <v>60</v>
      </c>
      <c r="E34" s="6">
        <v>2</v>
      </c>
      <c r="F34" s="6">
        <v>2</v>
      </c>
      <c r="G34" s="6">
        <v>17</v>
      </c>
      <c r="H34" s="6">
        <v>7</v>
      </c>
      <c r="I34" s="6">
        <v>2</v>
      </c>
      <c r="J34" s="6">
        <v>0</v>
      </c>
      <c r="K34" s="6">
        <v>52</v>
      </c>
      <c r="L34" s="6">
        <v>11</v>
      </c>
      <c r="M34" s="6">
        <v>15</v>
      </c>
      <c r="N34" s="6">
        <v>26</v>
      </c>
      <c r="O34" s="7">
        <v>0.5</v>
      </c>
      <c r="P34" s="6">
        <v>0</v>
      </c>
      <c r="Q34" s="15">
        <v>-39</v>
      </c>
    </row>
    <row r="35" spans="5:8" ht="13.5" thickBot="1">
      <c r="E35" s="61"/>
      <c r="F35" s="62"/>
      <c r="G35" s="64"/>
      <c r="H35" s="63"/>
    </row>
    <row r="36" spans="1:17" ht="27.75">
      <c r="A36" s="118" t="s">
        <v>149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20"/>
    </row>
    <row r="37" spans="1:17" ht="12.75">
      <c r="A37" s="3"/>
      <c r="B37" s="3"/>
      <c r="C37" s="3"/>
      <c r="D37" s="3"/>
      <c r="E37" s="122" t="s">
        <v>1</v>
      </c>
      <c r="F37" s="122"/>
      <c r="G37" s="122"/>
      <c r="H37" s="122"/>
      <c r="I37" s="122"/>
      <c r="J37" s="122"/>
      <c r="K37" s="14"/>
      <c r="L37" s="1"/>
      <c r="M37" s="1"/>
      <c r="N37" s="1"/>
      <c r="O37" s="1"/>
      <c r="P37" s="1"/>
      <c r="Q37" s="1"/>
    </row>
    <row r="38" spans="1:17" ht="65.25" thickBot="1">
      <c r="A38" s="33" t="s">
        <v>2</v>
      </c>
      <c r="B38" s="33" t="s">
        <v>3</v>
      </c>
      <c r="C38" s="34" t="s">
        <v>1</v>
      </c>
      <c r="D38" s="35" t="s">
        <v>4</v>
      </c>
      <c r="E38" s="36" t="s">
        <v>5</v>
      </c>
      <c r="F38" s="36" t="s">
        <v>6</v>
      </c>
      <c r="G38" s="36" t="s">
        <v>7</v>
      </c>
      <c r="H38" s="36" t="s">
        <v>8</v>
      </c>
      <c r="I38" s="36" t="s">
        <v>9</v>
      </c>
      <c r="J38" s="36" t="s">
        <v>10</v>
      </c>
      <c r="K38" s="37" t="s">
        <v>11</v>
      </c>
      <c r="L38" s="37" t="s">
        <v>12</v>
      </c>
      <c r="M38" s="37" t="s">
        <v>13</v>
      </c>
      <c r="N38" s="37" t="s">
        <v>14</v>
      </c>
      <c r="O38" s="38" t="s">
        <v>15</v>
      </c>
      <c r="P38" s="38" t="s">
        <v>16</v>
      </c>
      <c r="Q38" s="39" t="s">
        <v>17</v>
      </c>
    </row>
    <row r="39" spans="1:17" ht="12.75">
      <c r="A39" s="23" t="s">
        <v>18</v>
      </c>
      <c r="B39" s="24" t="s">
        <v>50</v>
      </c>
      <c r="C39" s="31">
        <v>76</v>
      </c>
      <c r="D39" s="26">
        <v>65</v>
      </c>
      <c r="E39" s="26">
        <v>14</v>
      </c>
      <c r="F39" s="26">
        <v>1</v>
      </c>
      <c r="G39" s="26">
        <v>24</v>
      </c>
      <c r="H39" s="26">
        <v>14</v>
      </c>
      <c r="I39" s="26">
        <v>7</v>
      </c>
      <c r="J39" s="26">
        <v>16</v>
      </c>
      <c r="K39" s="26">
        <v>51</v>
      </c>
      <c r="L39" s="26">
        <v>16</v>
      </c>
      <c r="M39" s="26">
        <v>29</v>
      </c>
      <c r="N39" s="26">
        <v>45</v>
      </c>
      <c r="O39" s="27">
        <v>0.8823529411764706</v>
      </c>
      <c r="P39" s="26">
        <v>0</v>
      </c>
      <c r="Q39" s="32" t="s">
        <v>19</v>
      </c>
    </row>
    <row r="40" spans="1:17" ht="12.75">
      <c r="A40" s="4" t="s">
        <v>20</v>
      </c>
      <c r="B40" s="19" t="s">
        <v>46</v>
      </c>
      <c r="C40" s="15">
        <v>67</v>
      </c>
      <c r="D40" s="6">
        <v>62</v>
      </c>
      <c r="E40" s="6">
        <v>10</v>
      </c>
      <c r="F40" s="6">
        <v>10</v>
      </c>
      <c r="G40" s="6">
        <v>23</v>
      </c>
      <c r="H40" s="6">
        <v>13</v>
      </c>
      <c r="I40" s="6">
        <v>9</v>
      </c>
      <c r="J40" s="6">
        <v>2</v>
      </c>
      <c r="K40" s="6">
        <v>55</v>
      </c>
      <c r="L40" s="6">
        <v>22</v>
      </c>
      <c r="M40" s="6">
        <v>25</v>
      </c>
      <c r="N40" s="6">
        <v>47</v>
      </c>
      <c r="O40" s="7">
        <v>0.8545454545454545</v>
      </c>
      <c r="P40" s="6">
        <v>0</v>
      </c>
      <c r="Q40" s="15">
        <v>-9</v>
      </c>
    </row>
    <row r="41" spans="1:17" ht="12.75">
      <c r="A41" s="4" t="s">
        <v>21</v>
      </c>
      <c r="B41" s="19" t="s">
        <v>47</v>
      </c>
      <c r="C41" s="15">
        <v>65</v>
      </c>
      <c r="D41" s="6">
        <v>72</v>
      </c>
      <c r="E41" s="6">
        <v>11</v>
      </c>
      <c r="F41" s="6">
        <v>8</v>
      </c>
      <c r="G41" s="6">
        <v>23</v>
      </c>
      <c r="H41" s="6">
        <v>6</v>
      </c>
      <c r="I41" s="6">
        <v>14</v>
      </c>
      <c r="J41" s="6">
        <v>3</v>
      </c>
      <c r="K41" s="6">
        <v>59</v>
      </c>
      <c r="L41" s="6">
        <v>16</v>
      </c>
      <c r="M41" s="6">
        <v>27</v>
      </c>
      <c r="N41" s="6">
        <v>43</v>
      </c>
      <c r="O41" s="7">
        <v>0.7288135593220338</v>
      </c>
      <c r="P41" s="6">
        <v>0</v>
      </c>
      <c r="Q41" s="15">
        <v>-11</v>
      </c>
    </row>
    <row r="42" spans="1:17" ht="12.75">
      <c r="A42" s="4" t="s">
        <v>22</v>
      </c>
      <c r="B42" s="19" t="s">
        <v>49</v>
      </c>
      <c r="C42" s="15">
        <v>60</v>
      </c>
      <c r="D42" s="6">
        <v>70</v>
      </c>
      <c r="E42" s="6">
        <v>11</v>
      </c>
      <c r="F42" s="6">
        <v>4</v>
      </c>
      <c r="G42" s="6">
        <v>21</v>
      </c>
      <c r="H42" s="6">
        <v>11</v>
      </c>
      <c r="I42" s="6">
        <v>10</v>
      </c>
      <c r="J42" s="6">
        <v>3</v>
      </c>
      <c r="K42" s="6">
        <v>59</v>
      </c>
      <c r="L42" s="6">
        <v>17</v>
      </c>
      <c r="M42" s="6">
        <v>28</v>
      </c>
      <c r="N42" s="6">
        <v>45</v>
      </c>
      <c r="O42" s="7">
        <v>0.7627118644067796</v>
      </c>
      <c r="P42" s="6">
        <v>0</v>
      </c>
      <c r="Q42" s="15">
        <v>-16</v>
      </c>
    </row>
    <row r="43" spans="1:17" ht="12.75">
      <c r="A43" s="4" t="s">
        <v>23</v>
      </c>
      <c r="B43" s="19" t="s">
        <v>48</v>
      </c>
      <c r="C43" s="15">
        <v>49</v>
      </c>
      <c r="D43" s="6">
        <v>55</v>
      </c>
      <c r="E43" s="6">
        <v>8</v>
      </c>
      <c r="F43" s="6">
        <v>4</v>
      </c>
      <c r="G43" s="6">
        <v>16</v>
      </c>
      <c r="H43" s="6">
        <v>8</v>
      </c>
      <c r="I43" s="6">
        <v>10</v>
      </c>
      <c r="J43" s="6">
        <v>3</v>
      </c>
      <c r="K43" s="6">
        <v>50</v>
      </c>
      <c r="L43" s="6">
        <v>11</v>
      </c>
      <c r="M43" s="6">
        <v>26</v>
      </c>
      <c r="N43" s="6">
        <v>37</v>
      </c>
      <c r="O43" s="7">
        <v>0.74</v>
      </c>
      <c r="P43" s="6">
        <v>0</v>
      </c>
      <c r="Q43" s="15">
        <v>-27</v>
      </c>
    </row>
    <row r="44" spans="1:17" ht="12.75">
      <c r="A44" s="4" t="s">
        <v>24</v>
      </c>
      <c r="B44" s="19" t="s">
        <v>32</v>
      </c>
      <c r="C44" s="15">
        <v>49</v>
      </c>
      <c r="D44" s="6">
        <v>72</v>
      </c>
      <c r="E44" s="6">
        <v>2</v>
      </c>
      <c r="F44" s="6">
        <v>9</v>
      </c>
      <c r="G44" s="6">
        <v>12</v>
      </c>
      <c r="H44" s="6">
        <v>13</v>
      </c>
      <c r="I44" s="6">
        <v>11</v>
      </c>
      <c r="J44" s="6">
        <v>2</v>
      </c>
      <c r="K44" s="6">
        <v>63</v>
      </c>
      <c r="L44" s="6">
        <v>13</v>
      </c>
      <c r="M44" s="6">
        <v>25</v>
      </c>
      <c r="N44" s="6">
        <v>38</v>
      </c>
      <c r="O44" s="7">
        <v>0.6031746031746031</v>
      </c>
      <c r="P44" s="6">
        <v>0</v>
      </c>
      <c r="Q44" s="15">
        <v>-27</v>
      </c>
    </row>
    <row r="45" spans="1:17" ht="12.75">
      <c r="A45" s="4" t="s">
        <v>25</v>
      </c>
      <c r="B45" s="19" t="s">
        <v>52</v>
      </c>
      <c r="C45" s="15">
        <v>45</v>
      </c>
      <c r="D45" s="6">
        <v>64</v>
      </c>
      <c r="E45" s="6">
        <v>9</v>
      </c>
      <c r="F45" s="6">
        <v>10</v>
      </c>
      <c r="G45" s="6">
        <v>14</v>
      </c>
      <c r="H45" s="6">
        <v>2</v>
      </c>
      <c r="I45" s="6">
        <v>7</v>
      </c>
      <c r="J45" s="6">
        <v>3</v>
      </c>
      <c r="K45" s="6">
        <v>56</v>
      </c>
      <c r="L45" s="6">
        <v>5</v>
      </c>
      <c r="M45" s="6">
        <v>21</v>
      </c>
      <c r="N45" s="6">
        <v>26</v>
      </c>
      <c r="O45" s="7">
        <v>0.4642857142857143</v>
      </c>
      <c r="P45" s="6">
        <v>0</v>
      </c>
      <c r="Q45" s="15">
        <v>-31</v>
      </c>
    </row>
    <row r="46" spans="1:17" ht="12.75">
      <c r="A46" s="4" t="s">
        <v>26</v>
      </c>
      <c r="B46" s="19" t="s">
        <v>53</v>
      </c>
      <c r="C46" s="15">
        <v>36</v>
      </c>
      <c r="D46" s="26">
        <v>80</v>
      </c>
      <c r="E46" s="26">
        <v>-3</v>
      </c>
      <c r="F46" s="26">
        <v>3</v>
      </c>
      <c r="G46" s="26">
        <v>14</v>
      </c>
      <c r="H46" s="26">
        <v>10</v>
      </c>
      <c r="I46" s="26">
        <v>12</v>
      </c>
      <c r="J46" s="26">
        <v>0</v>
      </c>
      <c r="K46" s="26">
        <v>75</v>
      </c>
      <c r="L46" s="26">
        <v>12</v>
      </c>
      <c r="M46" s="26">
        <v>24</v>
      </c>
      <c r="N46" s="6">
        <v>36</v>
      </c>
      <c r="O46" s="7">
        <v>0.48</v>
      </c>
      <c r="P46" s="6">
        <v>0</v>
      </c>
      <c r="Q46" s="15">
        <v>-40</v>
      </c>
    </row>
    <row r="47" spans="1:17" ht="12.75">
      <c r="A47" s="4" t="s">
        <v>27</v>
      </c>
      <c r="B47" s="19" t="s">
        <v>51</v>
      </c>
      <c r="C47" s="15">
        <v>34</v>
      </c>
      <c r="D47" s="6">
        <v>64</v>
      </c>
      <c r="E47" s="6">
        <v>3</v>
      </c>
      <c r="F47" s="6">
        <v>8</v>
      </c>
      <c r="G47" s="6">
        <v>8</v>
      </c>
      <c r="H47" s="6">
        <v>11</v>
      </c>
      <c r="I47" s="6">
        <v>4</v>
      </c>
      <c r="J47" s="6">
        <v>0</v>
      </c>
      <c r="K47" s="6">
        <v>58</v>
      </c>
      <c r="L47" s="6">
        <v>11</v>
      </c>
      <c r="M47" s="6">
        <v>12</v>
      </c>
      <c r="N47" s="6">
        <v>23</v>
      </c>
      <c r="O47" s="7">
        <v>0.39655172413793105</v>
      </c>
      <c r="P47" s="6">
        <v>0</v>
      </c>
      <c r="Q47" s="15">
        <v>-42</v>
      </c>
    </row>
    <row r="48" spans="1:17" ht="12.75">
      <c r="A48" s="4" t="s">
        <v>28</v>
      </c>
      <c r="B48" s="19" t="s">
        <v>72</v>
      </c>
      <c r="C48" s="15">
        <v>34</v>
      </c>
      <c r="D48" s="6">
        <v>68</v>
      </c>
      <c r="E48" s="6">
        <v>0</v>
      </c>
      <c r="F48" s="6">
        <v>7</v>
      </c>
      <c r="G48" s="6">
        <v>9</v>
      </c>
      <c r="H48" s="6">
        <v>8</v>
      </c>
      <c r="I48" s="6">
        <v>8</v>
      </c>
      <c r="J48" s="6">
        <v>2</v>
      </c>
      <c r="K48" s="6">
        <v>60</v>
      </c>
      <c r="L48" s="6">
        <v>12</v>
      </c>
      <c r="M48" s="6">
        <v>15</v>
      </c>
      <c r="N48" s="6">
        <v>27</v>
      </c>
      <c r="O48" s="7">
        <v>0.45</v>
      </c>
      <c r="P48" s="6">
        <v>0</v>
      </c>
      <c r="Q48" s="15">
        <v>-42</v>
      </c>
    </row>
    <row r="49" spans="5:8" ht="13.5" thickBot="1">
      <c r="E49" s="61"/>
      <c r="F49" s="62"/>
      <c r="G49" s="64"/>
      <c r="H49" s="63"/>
    </row>
    <row r="50" spans="1:17" ht="27.75">
      <c r="A50" s="118" t="s">
        <v>148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</row>
    <row r="51" spans="1:17" ht="12.75">
      <c r="A51" s="3"/>
      <c r="B51" s="3"/>
      <c r="C51" s="3"/>
      <c r="D51" s="3"/>
      <c r="E51" s="122" t="s">
        <v>1</v>
      </c>
      <c r="F51" s="122"/>
      <c r="G51" s="122"/>
      <c r="H51" s="122"/>
      <c r="I51" s="122"/>
      <c r="J51" s="122"/>
      <c r="K51" s="14"/>
      <c r="L51" s="1"/>
      <c r="M51" s="1"/>
      <c r="N51" s="1"/>
      <c r="O51" s="1"/>
      <c r="P51" s="1"/>
      <c r="Q51" s="1"/>
    </row>
    <row r="52" spans="1:17" ht="65.25" thickBot="1">
      <c r="A52" s="33" t="s">
        <v>2</v>
      </c>
      <c r="B52" s="33" t="s">
        <v>3</v>
      </c>
      <c r="C52" s="34" t="s">
        <v>1</v>
      </c>
      <c r="D52" s="35" t="s">
        <v>4</v>
      </c>
      <c r="E52" s="36" t="s">
        <v>5</v>
      </c>
      <c r="F52" s="36" t="s">
        <v>6</v>
      </c>
      <c r="G52" s="36" t="s">
        <v>7</v>
      </c>
      <c r="H52" s="36" t="s">
        <v>8</v>
      </c>
      <c r="I52" s="36" t="s">
        <v>9</v>
      </c>
      <c r="J52" s="36" t="s">
        <v>10</v>
      </c>
      <c r="K52" s="37" t="s">
        <v>11</v>
      </c>
      <c r="L52" s="37" t="s">
        <v>12</v>
      </c>
      <c r="M52" s="37" t="s">
        <v>13</v>
      </c>
      <c r="N52" s="37" t="s">
        <v>14</v>
      </c>
      <c r="O52" s="38" t="s">
        <v>15</v>
      </c>
      <c r="P52" s="38" t="s">
        <v>16</v>
      </c>
      <c r="Q52" s="39" t="s">
        <v>17</v>
      </c>
    </row>
    <row r="53" spans="1:17" ht="12.75">
      <c r="A53" s="23" t="s">
        <v>18</v>
      </c>
      <c r="B53" s="24" t="s">
        <v>53</v>
      </c>
      <c r="C53" s="31">
        <v>80</v>
      </c>
      <c r="D53" s="26">
        <v>61</v>
      </c>
      <c r="E53" s="26">
        <v>14</v>
      </c>
      <c r="F53" s="26">
        <v>9</v>
      </c>
      <c r="G53" s="26">
        <v>18</v>
      </c>
      <c r="H53" s="26">
        <v>20</v>
      </c>
      <c r="I53" s="26">
        <v>18</v>
      </c>
      <c r="J53" s="26">
        <v>1</v>
      </c>
      <c r="K53" s="26">
        <v>51</v>
      </c>
      <c r="L53" s="26">
        <v>20</v>
      </c>
      <c r="M53" s="26">
        <v>37</v>
      </c>
      <c r="N53" s="26">
        <v>57</v>
      </c>
      <c r="O53" s="27">
        <v>1.1176470588235294</v>
      </c>
      <c r="P53" s="26">
        <v>0</v>
      </c>
      <c r="Q53" s="32" t="s">
        <v>19</v>
      </c>
    </row>
    <row r="54" spans="1:17" ht="12.75">
      <c r="A54" s="4" t="s">
        <v>20</v>
      </c>
      <c r="B54" s="19" t="s">
        <v>32</v>
      </c>
      <c r="C54" s="15">
        <v>74</v>
      </c>
      <c r="D54" s="6">
        <v>86</v>
      </c>
      <c r="E54" s="6">
        <v>11</v>
      </c>
      <c r="F54" s="6">
        <v>9</v>
      </c>
      <c r="G54" s="6">
        <v>23</v>
      </c>
      <c r="H54" s="6">
        <v>12</v>
      </c>
      <c r="I54" s="6">
        <v>17</v>
      </c>
      <c r="J54" s="6">
        <v>2</v>
      </c>
      <c r="K54" s="6">
        <v>74</v>
      </c>
      <c r="L54" s="6">
        <v>19</v>
      </c>
      <c r="M54" s="6">
        <v>35</v>
      </c>
      <c r="N54" s="6">
        <v>54</v>
      </c>
      <c r="O54" s="7">
        <v>0.7297297297297297</v>
      </c>
      <c r="P54" s="6">
        <v>0</v>
      </c>
      <c r="Q54" s="15">
        <v>-6</v>
      </c>
    </row>
    <row r="55" spans="1:17" ht="12.75">
      <c r="A55" s="4" t="s">
        <v>21</v>
      </c>
      <c r="B55" s="19" t="s">
        <v>47</v>
      </c>
      <c r="C55" s="15">
        <v>70</v>
      </c>
      <c r="D55" s="6">
        <v>81</v>
      </c>
      <c r="E55" s="6">
        <v>0</v>
      </c>
      <c r="F55" s="6">
        <v>7</v>
      </c>
      <c r="G55" s="6">
        <v>20</v>
      </c>
      <c r="H55" s="6">
        <v>28</v>
      </c>
      <c r="I55" s="6">
        <v>13</v>
      </c>
      <c r="J55" s="6">
        <v>2</v>
      </c>
      <c r="K55" s="6">
        <v>65</v>
      </c>
      <c r="L55" s="6">
        <v>19</v>
      </c>
      <c r="M55" s="6">
        <v>42</v>
      </c>
      <c r="N55" s="6">
        <v>61</v>
      </c>
      <c r="O55" s="7">
        <v>0.9384615384615385</v>
      </c>
      <c r="P55" s="6">
        <v>0</v>
      </c>
      <c r="Q55" s="15">
        <v>-10</v>
      </c>
    </row>
    <row r="56" spans="1:17" ht="12.75">
      <c r="A56" s="4" t="s">
        <v>22</v>
      </c>
      <c r="B56" s="19" t="s">
        <v>50</v>
      </c>
      <c r="C56" s="15">
        <v>66</v>
      </c>
      <c r="D56" s="6">
        <v>79</v>
      </c>
      <c r="E56" s="6">
        <v>4</v>
      </c>
      <c r="F56" s="6">
        <v>7</v>
      </c>
      <c r="G56" s="6">
        <v>16</v>
      </c>
      <c r="H56" s="6">
        <v>10</v>
      </c>
      <c r="I56" s="6">
        <v>17</v>
      </c>
      <c r="J56" s="6">
        <v>12</v>
      </c>
      <c r="K56" s="6">
        <v>65</v>
      </c>
      <c r="L56" s="6">
        <v>7</v>
      </c>
      <c r="M56" s="6">
        <v>36</v>
      </c>
      <c r="N56" s="6">
        <v>43</v>
      </c>
      <c r="O56" s="7">
        <v>0.6615384615384615</v>
      </c>
      <c r="P56" s="6">
        <v>0</v>
      </c>
      <c r="Q56" s="15">
        <v>-14</v>
      </c>
    </row>
    <row r="57" spans="1:17" ht="12.75">
      <c r="A57" s="4" t="s">
        <v>23</v>
      </c>
      <c r="B57" s="19" t="s">
        <v>49</v>
      </c>
      <c r="C57" s="15">
        <v>65</v>
      </c>
      <c r="D57" s="6">
        <v>77</v>
      </c>
      <c r="E57" s="6">
        <v>1</v>
      </c>
      <c r="F57" s="6">
        <v>12</v>
      </c>
      <c r="G57" s="6">
        <v>26</v>
      </c>
      <c r="H57" s="6">
        <v>11</v>
      </c>
      <c r="I57" s="6">
        <v>12</v>
      </c>
      <c r="J57" s="6">
        <v>3</v>
      </c>
      <c r="K57" s="6">
        <v>68</v>
      </c>
      <c r="L57" s="6">
        <v>21</v>
      </c>
      <c r="M57" s="6">
        <v>31</v>
      </c>
      <c r="N57" s="6">
        <v>52</v>
      </c>
      <c r="O57" s="7">
        <v>0.7647058823529411</v>
      </c>
      <c r="P57" s="6">
        <v>0</v>
      </c>
      <c r="Q57" s="15">
        <v>-15</v>
      </c>
    </row>
    <row r="58" spans="1:17" ht="12.75">
      <c r="A58" s="4" t="s">
        <v>24</v>
      </c>
      <c r="B58" s="19" t="s">
        <v>51</v>
      </c>
      <c r="C58" s="15">
        <v>64</v>
      </c>
      <c r="D58" s="6">
        <v>74</v>
      </c>
      <c r="E58" s="6">
        <v>6</v>
      </c>
      <c r="F58" s="6">
        <v>9</v>
      </c>
      <c r="G58" s="6">
        <v>16</v>
      </c>
      <c r="H58" s="6">
        <v>21</v>
      </c>
      <c r="I58" s="6">
        <v>11</v>
      </c>
      <c r="J58" s="6">
        <v>1</v>
      </c>
      <c r="K58" s="6">
        <v>64</v>
      </c>
      <c r="L58" s="6">
        <v>25</v>
      </c>
      <c r="M58" s="6">
        <v>24</v>
      </c>
      <c r="N58" s="6">
        <v>49</v>
      </c>
      <c r="O58" s="7">
        <v>0.765625</v>
      </c>
      <c r="P58" s="6">
        <v>0</v>
      </c>
      <c r="Q58" s="15">
        <v>-16</v>
      </c>
    </row>
    <row r="59" spans="1:17" ht="12.75">
      <c r="A59" s="4" t="s">
        <v>25</v>
      </c>
      <c r="B59" s="19" t="s">
        <v>52</v>
      </c>
      <c r="C59" s="15">
        <v>61</v>
      </c>
      <c r="D59" s="6">
        <v>75</v>
      </c>
      <c r="E59" s="6">
        <v>4</v>
      </c>
      <c r="F59" s="6">
        <v>6</v>
      </c>
      <c r="G59" s="6">
        <v>25</v>
      </c>
      <c r="H59" s="6">
        <v>14</v>
      </c>
      <c r="I59" s="6">
        <v>6</v>
      </c>
      <c r="J59" s="6">
        <v>6</v>
      </c>
      <c r="K59" s="6">
        <v>67</v>
      </c>
      <c r="L59" s="6">
        <v>17</v>
      </c>
      <c r="M59" s="6">
        <v>34</v>
      </c>
      <c r="N59" s="6">
        <v>51</v>
      </c>
      <c r="O59" s="7">
        <v>0.7611940298507462</v>
      </c>
      <c r="P59" s="6">
        <v>0</v>
      </c>
      <c r="Q59" s="15">
        <v>-19</v>
      </c>
    </row>
    <row r="60" spans="1:17" ht="12.75">
      <c r="A60" s="4" t="s">
        <v>26</v>
      </c>
      <c r="B60" s="19" t="s">
        <v>48</v>
      </c>
      <c r="C60" s="15">
        <v>57</v>
      </c>
      <c r="D60" s="26">
        <v>82</v>
      </c>
      <c r="E60" s="26">
        <v>11</v>
      </c>
      <c r="F60" s="26">
        <v>5</v>
      </c>
      <c r="G60" s="26">
        <v>18</v>
      </c>
      <c r="H60" s="26">
        <v>13</v>
      </c>
      <c r="I60" s="26">
        <v>9</v>
      </c>
      <c r="J60" s="26">
        <v>1</v>
      </c>
      <c r="K60" s="26">
        <v>73</v>
      </c>
      <c r="L60" s="26">
        <v>19</v>
      </c>
      <c r="M60" s="26">
        <v>22</v>
      </c>
      <c r="N60" s="6">
        <v>41</v>
      </c>
      <c r="O60" s="7">
        <v>0.5616438356164384</v>
      </c>
      <c r="P60" s="6">
        <v>0</v>
      </c>
      <c r="Q60" s="15">
        <v>-23</v>
      </c>
    </row>
    <row r="61" spans="1:17" ht="12.75">
      <c r="A61" s="4" t="s">
        <v>27</v>
      </c>
      <c r="B61" s="19" t="s">
        <v>46</v>
      </c>
      <c r="C61" s="15">
        <v>57</v>
      </c>
      <c r="D61" s="6">
        <v>81</v>
      </c>
      <c r="E61" s="6">
        <v>6</v>
      </c>
      <c r="F61" s="6">
        <v>10</v>
      </c>
      <c r="G61" s="6">
        <v>22</v>
      </c>
      <c r="H61" s="6">
        <v>5</v>
      </c>
      <c r="I61" s="6">
        <v>11</v>
      </c>
      <c r="J61" s="6">
        <v>3</v>
      </c>
      <c r="K61" s="6">
        <v>71</v>
      </c>
      <c r="L61" s="6">
        <v>21</v>
      </c>
      <c r="M61" s="6">
        <v>20</v>
      </c>
      <c r="N61" s="6">
        <v>41</v>
      </c>
      <c r="O61" s="7">
        <v>0.5774647887323944</v>
      </c>
      <c r="P61" s="6">
        <v>0</v>
      </c>
      <c r="Q61" s="15">
        <v>-24</v>
      </c>
    </row>
    <row r="62" spans="1:17" ht="12.75">
      <c r="A62" s="4" t="s">
        <v>28</v>
      </c>
      <c r="B62" s="19" t="s">
        <v>72</v>
      </c>
      <c r="C62" s="15">
        <v>47</v>
      </c>
      <c r="D62" s="6">
        <v>64</v>
      </c>
      <c r="E62" s="6">
        <v>8</v>
      </c>
      <c r="F62" s="6">
        <v>1</v>
      </c>
      <c r="G62" s="6">
        <v>14</v>
      </c>
      <c r="H62" s="6">
        <v>10</v>
      </c>
      <c r="I62" s="6">
        <v>11</v>
      </c>
      <c r="J62" s="6">
        <v>3</v>
      </c>
      <c r="K62" s="6">
        <v>58</v>
      </c>
      <c r="L62" s="6">
        <v>10</v>
      </c>
      <c r="M62" s="6">
        <v>28</v>
      </c>
      <c r="N62" s="6">
        <v>38</v>
      </c>
      <c r="O62" s="7">
        <v>0.6551724137931034</v>
      </c>
      <c r="P62" s="6">
        <v>0</v>
      </c>
      <c r="Q62" s="15">
        <v>-33</v>
      </c>
    </row>
    <row r="63" spans="5:8" ht="13.5" thickBot="1">
      <c r="E63" s="61"/>
      <c r="F63" s="62"/>
      <c r="G63" s="64"/>
      <c r="H63" s="63"/>
    </row>
    <row r="64" spans="1:17" ht="27.75">
      <c r="A64" s="118" t="s">
        <v>147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20"/>
    </row>
    <row r="65" spans="1:17" ht="12.75">
      <c r="A65" s="3"/>
      <c r="B65" s="3"/>
      <c r="C65" s="3"/>
      <c r="D65" s="3"/>
      <c r="E65" s="122" t="s">
        <v>1</v>
      </c>
      <c r="F65" s="122"/>
      <c r="G65" s="122"/>
      <c r="H65" s="122"/>
      <c r="I65" s="122"/>
      <c r="J65" s="122"/>
      <c r="K65" s="14"/>
      <c r="L65" s="1"/>
      <c r="M65" s="1"/>
      <c r="N65" s="1"/>
      <c r="O65" s="1"/>
      <c r="P65" s="1"/>
      <c r="Q65" s="1"/>
    </row>
    <row r="66" spans="1:17" ht="65.25" thickBot="1">
      <c r="A66" s="33" t="s">
        <v>2</v>
      </c>
      <c r="B66" s="33" t="s">
        <v>3</v>
      </c>
      <c r="C66" s="34" t="s">
        <v>1</v>
      </c>
      <c r="D66" s="35" t="s">
        <v>4</v>
      </c>
      <c r="E66" s="36" t="s">
        <v>5</v>
      </c>
      <c r="F66" s="36" t="s">
        <v>6</v>
      </c>
      <c r="G66" s="36" t="s">
        <v>7</v>
      </c>
      <c r="H66" s="36" t="s">
        <v>8</v>
      </c>
      <c r="I66" s="36" t="s">
        <v>9</v>
      </c>
      <c r="J66" s="36" t="s">
        <v>10</v>
      </c>
      <c r="K66" s="37" t="s">
        <v>11</v>
      </c>
      <c r="L66" s="37" t="s">
        <v>12</v>
      </c>
      <c r="M66" s="37" t="s">
        <v>13</v>
      </c>
      <c r="N66" s="37" t="s">
        <v>14</v>
      </c>
      <c r="O66" s="38" t="s">
        <v>15</v>
      </c>
      <c r="P66" s="38" t="s">
        <v>16</v>
      </c>
      <c r="Q66" s="39" t="s">
        <v>17</v>
      </c>
    </row>
    <row r="67" spans="1:17" ht="12.75">
      <c r="A67" s="23" t="s">
        <v>18</v>
      </c>
      <c r="B67" s="24" t="s">
        <v>46</v>
      </c>
      <c r="C67" s="31">
        <v>67</v>
      </c>
      <c r="D67" s="26">
        <v>72</v>
      </c>
      <c r="E67" s="26">
        <v>14</v>
      </c>
      <c r="F67" s="26">
        <v>18</v>
      </c>
      <c r="G67" s="26">
        <v>16</v>
      </c>
      <c r="H67" s="26">
        <v>8</v>
      </c>
      <c r="I67" s="26">
        <v>8</v>
      </c>
      <c r="J67" s="26">
        <v>3</v>
      </c>
      <c r="K67" s="26">
        <v>61</v>
      </c>
      <c r="L67" s="26">
        <v>12</v>
      </c>
      <c r="M67" s="26">
        <v>23</v>
      </c>
      <c r="N67" s="26">
        <v>35</v>
      </c>
      <c r="O67" s="27">
        <v>0.5737704918032787</v>
      </c>
      <c r="P67" s="26">
        <v>0</v>
      </c>
      <c r="Q67" s="32" t="s">
        <v>19</v>
      </c>
    </row>
    <row r="68" spans="1:17" ht="12.75">
      <c r="A68" s="4" t="s">
        <v>20</v>
      </c>
      <c r="B68" s="19" t="s">
        <v>52</v>
      </c>
      <c r="C68" s="15">
        <v>60</v>
      </c>
      <c r="D68" s="6">
        <v>60</v>
      </c>
      <c r="E68" s="6">
        <v>6</v>
      </c>
      <c r="F68" s="6">
        <v>20</v>
      </c>
      <c r="G68" s="6">
        <v>12</v>
      </c>
      <c r="H68" s="6">
        <v>9</v>
      </c>
      <c r="I68" s="6">
        <v>10</v>
      </c>
      <c r="J68" s="6">
        <v>3</v>
      </c>
      <c r="K68" s="6">
        <v>54</v>
      </c>
      <c r="L68" s="6">
        <v>8</v>
      </c>
      <c r="M68" s="6">
        <v>26</v>
      </c>
      <c r="N68" s="6">
        <v>34</v>
      </c>
      <c r="O68" s="7">
        <v>0.6296296296296297</v>
      </c>
      <c r="P68" s="6">
        <v>0</v>
      </c>
      <c r="Q68" s="15">
        <v>-7</v>
      </c>
    </row>
    <row r="69" spans="1:17" ht="12.75">
      <c r="A69" s="4" t="s">
        <v>21</v>
      </c>
      <c r="B69" s="19" t="s">
        <v>48</v>
      </c>
      <c r="C69" s="15">
        <v>58</v>
      </c>
      <c r="D69" s="6">
        <v>64</v>
      </c>
      <c r="E69" s="6">
        <v>6</v>
      </c>
      <c r="F69" s="6">
        <v>2</v>
      </c>
      <c r="G69" s="6">
        <v>25</v>
      </c>
      <c r="H69" s="6">
        <v>14</v>
      </c>
      <c r="I69" s="6">
        <v>8</v>
      </c>
      <c r="J69" s="6">
        <v>3</v>
      </c>
      <c r="K69" s="6">
        <v>60</v>
      </c>
      <c r="L69" s="6">
        <v>24</v>
      </c>
      <c r="M69" s="6">
        <v>26</v>
      </c>
      <c r="N69" s="6">
        <v>50</v>
      </c>
      <c r="O69" s="7">
        <v>0.8333333333333334</v>
      </c>
      <c r="P69" s="6">
        <v>0</v>
      </c>
      <c r="Q69" s="15">
        <v>-9</v>
      </c>
    </row>
    <row r="70" spans="1:17" ht="12.75">
      <c r="A70" s="4" t="s">
        <v>22</v>
      </c>
      <c r="B70" s="19" t="s">
        <v>72</v>
      </c>
      <c r="C70" s="15">
        <v>55</v>
      </c>
      <c r="D70" s="6">
        <v>65</v>
      </c>
      <c r="E70" s="6">
        <v>12</v>
      </c>
      <c r="F70" s="6">
        <v>8</v>
      </c>
      <c r="G70" s="6">
        <v>17</v>
      </c>
      <c r="H70" s="6">
        <v>9</v>
      </c>
      <c r="I70" s="6">
        <v>6</v>
      </c>
      <c r="J70" s="6">
        <v>3</v>
      </c>
      <c r="K70" s="6">
        <v>54</v>
      </c>
      <c r="L70" s="6">
        <v>18</v>
      </c>
      <c r="M70" s="6">
        <v>17</v>
      </c>
      <c r="N70" s="6">
        <v>35</v>
      </c>
      <c r="O70" s="7">
        <v>0.6481481481481481</v>
      </c>
      <c r="P70" s="6">
        <v>0</v>
      </c>
      <c r="Q70" s="15">
        <v>-12</v>
      </c>
    </row>
    <row r="71" spans="1:17" ht="12.75">
      <c r="A71" s="4" t="s">
        <v>23</v>
      </c>
      <c r="B71" s="19" t="s">
        <v>32</v>
      </c>
      <c r="C71" s="15">
        <v>55</v>
      </c>
      <c r="D71" s="6">
        <v>70</v>
      </c>
      <c r="E71" s="6">
        <v>5</v>
      </c>
      <c r="F71" s="6">
        <v>8</v>
      </c>
      <c r="G71" s="6">
        <v>19</v>
      </c>
      <c r="H71" s="6">
        <v>15</v>
      </c>
      <c r="I71" s="6">
        <v>5</v>
      </c>
      <c r="J71" s="6">
        <v>3</v>
      </c>
      <c r="K71" s="6">
        <v>62</v>
      </c>
      <c r="L71" s="6">
        <v>13</v>
      </c>
      <c r="M71" s="6">
        <v>29</v>
      </c>
      <c r="N71" s="6">
        <v>42</v>
      </c>
      <c r="O71" s="7">
        <v>0.6774193548387096</v>
      </c>
      <c r="P71" s="6">
        <v>0</v>
      </c>
      <c r="Q71" s="15">
        <v>-12</v>
      </c>
    </row>
    <row r="72" spans="1:17" ht="12.75">
      <c r="A72" s="4" t="s">
        <v>24</v>
      </c>
      <c r="B72" s="19" t="s">
        <v>50</v>
      </c>
      <c r="C72" s="15">
        <v>49</v>
      </c>
      <c r="D72" s="6">
        <v>73</v>
      </c>
      <c r="E72" s="6">
        <v>-4</v>
      </c>
      <c r="F72" s="6">
        <v>4</v>
      </c>
      <c r="G72" s="6">
        <v>18</v>
      </c>
      <c r="H72" s="6">
        <v>9</v>
      </c>
      <c r="I72" s="6">
        <v>16</v>
      </c>
      <c r="J72" s="6">
        <v>6</v>
      </c>
      <c r="K72" s="6">
        <v>62</v>
      </c>
      <c r="L72" s="6">
        <v>14</v>
      </c>
      <c r="M72" s="6">
        <v>29</v>
      </c>
      <c r="N72" s="6">
        <v>43</v>
      </c>
      <c r="O72" s="7">
        <v>0.6935483870967742</v>
      </c>
      <c r="P72" s="6">
        <v>0</v>
      </c>
      <c r="Q72" s="15">
        <v>-18</v>
      </c>
    </row>
    <row r="73" spans="1:17" ht="12.75">
      <c r="A73" s="4" t="s">
        <v>25</v>
      </c>
      <c r="B73" s="19" t="s">
        <v>47</v>
      </c>
      <c r="C73" s="15">
        <v>45</v>
      </c>
      <c r="D73" s="6">
        <v>65</v>
      </c>
      <c r="E73" s="6">
        <v>3</v>
      </c>
      <c r="F73" s="6">
        <v>4</v>
      </c>
      <c r="G73" s="6">
        <v>22</v>
      </c>
      <c r="H73" s="6">
        <v>8</v>
      </c>
      <c r="I73" s="6">
        <v>1</v>
      </c>
      <c r="J73" s="6">
        <v>7</v>
      </c>
      <c r="K73" s="6">
        <v>53</v>
      </c>
      <c r="L73" s="6">
        <v>16</v>
      </c>
      <c r="M73" s="6">
        <v>15</v>
      </c>
      <c r="N73" s="6">
        <v>31</v>
      </c>
      <c r="O73" s="7">
        <v>0.5849056603773585</v>
      </c>
      <c r="P73" s="6">
        <v>0</v>
      </c>
      <c r="Q73" s="15">
        <v>-22</v>
      </c>
    </row>
    <row r="74" spans="1:17" ht="12.75">
      <c r="A74" s="4" t="s">
        <v>26</v>
      </c>
      <c r="B74" s="19" t="s">
        <v>53</v>
      </c>
      <c r="C74" s="15">
        <v>39</v>
      </c>
      <c r="D74" s="26">
        <v>65</v>
      </c>
      <c r="E74" s="26">
        <v>9</v>
      </c>
      <c r="F74" s="26">
        <v>4</v>
      </c>
      <c r="G74" s="26">
        <v>11</v>
      </c>
      <c r="H74" s="26">
        <v>4</v>
      </c>
      <c r="I74" s="26">
        <v>8</v>
      </c>
      <c r="J74" s="26">
        <v>3</v>
      </c>
      <c r="K74" s="26">
        <v>59</v>
      </c>
      <c r="L74" s="26">
        <v>8</v>
      </c>
      <c r="M74" s="26">
        <v>18</v>
      </c>
      <c r="N74" s="6">
        <v>26</v>
      </c>
      <c r="O74" s="7">
        <v>0.4406779661016949</v>
      </c>
      <c r="P74" s="6">
        <v>0</v>
      </c>
      <c r="Q74" s="15">
        <v>-28</v>
      </c>
    </row>
    <row r="75" spans="1:17" ht="12.75">
      <c r="A75" s="4" t="s">
        <v>27</v>
      </c>
      <c r="B75" s="19" t="s">
        <v>49</v>
      </c>
      <c r="C75" s="15">
        <v>38</v>
      </c>
      <c r="D75" s="6">
        <v>63</v>
      </c>
      <c r="E75" s="6">
        <v>-5</v>
      </c>
      <c r="F75" s="6">
        <v>6</v>
      </c>
      <c r="G75" s="6">
        <v>18</v>
      </c>
      <c r="H75" s="6">
        <v>10</v>
      </c>
      <c r="I75" s="6">
        <v>7</v>
      </c>
      <c r="J75" s="6">
        <v>2</v>
      </c>
      <c r="K75" s="6">
        <v>55</v>
      </c>
      <c r="L75" s="6">
        <v>16</v>
      </c>
      <c r="M75" s="6">
        <v>21</v>
      </c>
      <c r="N75" s="6">
        <v>37</v>
      </c>
      <c r="O75" s="7">
        <v>0.6727272727272727</v>
      </c>
      <c r="P75" s="6">
        <v>0</v>
      </c>
      <c r="Q75" s="15">
        <v>-29</v>
      </c>
    </row>
    <row r="76" spans="1:17" ht="12.75">
      <c r="A76" s="4" t="s">
        <v>28</v>
      </c>
      <c r="B76" s="19" t="s">
        <v>51</v>
      </c>
      <c r="C76" s="15">
        <v>18</v>
      </c>
      <c r="D76" s="6">
        <v>62</v>
      </c>
      <c r="E76" s="6">
        <v>-4</v>
      </c>
      <c r="F76" s="6">
        <v>4</v>
      </c>
      <c r="G76" s="6">
        <v>9</v>
      </c>
      <c r="H76" s="6">
        <v>4</v>
      </c>
      <c r="I76" s="6">
        <v>5</v>
      </c>
      <c r="J76" s="6">
        <v>0</v>
      </c>
      <c r="K76" s="6">
        <v>54</v>
      </c>
      <c r="L76" s="6">
        <v>2</v>
      </c>
      <c r="M76" s="6">
        <v>16</v>
      </c>
      <c r="N76" s="6">
        <v>18</v>
      </c>
      <c r="O76" s="7">
        <v>0.3333333333333333</v>
      </c>
      <c r="P76" s="6">
        <v>0</v>
      </c>
      <c r="Q76" s="15">
        <v>-49</v>
      </c>
    </row>
    <row r="77" spans="5:8" ht="13.5" thickBot="1">
      <c r="E77" s="61"/>
      <c r="F77" s="62"/>
      <c r="G77" s="64"/>
      <c r="H77" s="63"/>
    </row>
    <row r="78" spans="1:17" ht="27.75">
      <c r="A78" s="118" t="s">
        <v>145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20"/>
    </row>
    <row r="79" spans="1:17" ht="12.75">
      <c r="A79" s="3"/>
      <c r="B79" s="3"/>
      <c r="C79" s="3"/>
      <c r="D79" s="3"/>
      <c r="E79" s="122" t="s">
        <v>1</v>
      </c>
      <c r="F79" s="122"/>
      <c r="G79" s="122"/>
      <c r="H79" s="122"/>
      <c r="I79" s="122"/>
      <c r="J79" s="122"/>
      <c r="K79" s="14"/>
      <c r="L79" s="1"/>
      <c r="M79" s="1"/>
      <c r="N79" s="1"/>
      <c r="O79" s="1"/>
      <c r="P79" s="1"/>
      <c r="Q79" s="1"/>
    </row>
    <row r="80" spans="1:17" ht="65.25" thickBot="1">
      <c r="A80" s="33" t="s">
        <v>2</v>
      </c>
      <c r="B80" s="33" t="s">
        <v>3</v>
      </c>
      <c r="C80" s="34" t="s">
        <v>1</v>
      </c>
      <c r="D80" s="35" t="s">
        <v>4</v>
      </c>
      <c r="E80" s="36" t="s">
        <v>5</v>
      </c>
      <c r="F80" s="36" t="s">
        <v>6</v>
      </c>
      <c r="G80" s="36" t="s">
        <v>7</v>
      </c>
      <c r="H80" s="36" t="s">
        <v>8</v>
      </c>
      <c r="I80" s="36" t="s">
        <v>9</v>
      </c>
      <c r="J80" s="36" t="s">
        <v>10</v>
      </c>
      <c r="K80" s="37" t="s">
        <v>11</v>
      </c>
      <c r="L80" s="37" t="s">
        <v>12</v>
      </c>
      <c r="M80" s="37" t="s">
        <v>13</v>
      </c>
      <c r="N80" s="37" t="s">
        <v>14</v>
      </c>
      <c r="O80" s="38" t="s">
        <v>15</v>
      </c>
      <c r="P80" s="38" t="s">
        <v>16</v>
      </c>
      <c r="Q80" s="39" t="s">
        <v>17</v>
      </c>
    </row>
    <row r="81" spans="1:17" ht="12.75">
      <c r="A81" s="23" t="s">
        <v>18</v>
      </c>
      <c r="B81" s="24" t="s">
        <v>50</v>
      </c>
      <c r="C81" s="31">
        <v>68</v>
      </c>
      <c r="D81" s="26">
        <v>68</v>
      </c>
      <c r="E81" s="26">
        <v>11</v>
      </c>
      <c r="F81" s="26">
        <v>12</v>
      </c>
      <c r="G81" s="26">
        <v>18</v>
      </c>
      <c r="H81" s="26">
        <v>8</v>
      </c>
      <c r="I81" s="26">
        <v>13</v>
      </c>
      <c r="J81" s="26">
        <v>6</v>
      </c>
      <c r="K81" s="26">
        <v>57</v>
      </c>
      <c r="L81" s="26">
        <v>15</v>
      </c>
      <c r="M81" s="26">
        <v>24</v>
      </c>
      <c r="N81" s="26">
        <v>39</v>
      </c>
      <c r="O81" s="27">
        <v>0.6842105263157895</v>
      </c>
      <c r="P81" s="26">
        <v>0</v>
      </c>
      <c r="Q81" s="32" t="s">
        <v>19</v>
      </c>
    </row>
    <row r="82" spans="1:17" ht="12.75">
      <c r="A82" s="4" t="s">
        <v>20</v>
      </c>
      <c r="B82" s="19" t="s">
        <v>48</v>
      </c>
      <c r="C82" s="15">
        <v>56</v>
      </c>
      <c r="D82" s="6">
        <v>66</v>
      </c>
      <c r="E82" s="6">
        <v>9</v>
      </c>
      <c r="F82" s="6">
        <v>2</v>
      </c>
      <c r="G82" s="6">
        <v>20</v>
      </c>
      <c r="H82" s="6">
        <v>5</v>
      </c>
      <c r="I82" s="6">
        <v>16</v>
      </c>
      <c r="J82" s="6">
        <v>4</v>
      </c>
      <c r="K82" s="6">
        <v>62</v>
      </c>
      <c r="L82" s="6">
        <v>21</v>
      </c>
      <c r="M82" s="6">
        <v>24</v>
      </c>
      <c r="N82" s="6">
        <v>45</v>
      </c>
      <c r="O82" s="7">
        <v>0.7258064516129032</v>
      </c>
      <c r="P82" s="6">
        <v>0</v>
      </c>
      <c r="Q82" s="15">
        <v>-12</v>
      </c>
    </row>
    <row r="83" spans="1:17" ht="12.75">
      <c r="A83" s="4" t="s">
        <v>21</v>
      </c>
      <c r="B83" s="19" t="s">
        <v>52</v>
      </c>
      <c r="C83" s="15">
        <v>53</v>
      </c>
      <c r="D83" s="6">
        <v>67</v>
      </c>
      <c r="E83" s="6">
        <v>13</v>
      </c>
      <c r="F83" s="6">
        <v>2</v>
      </c>
      <c r="G83" s="6">
        <v>20</v>
      </c>
      <c r="H83" s="6">
        <v>9</v>
      </c>
      <c r="I83" s="6">
        <v>8</v>
      </c>
      <c r="J83" s="6">
        <v>1</v>
      </c>
      <c r="K83" s="6">
        <v>60</v>
      </c>
      <c r="L83" s="6">
        <v>20</v>
      </c>
      <c r="M83" s="6">
        <v>18</v>
      </c>
      <c r="N83" s="6">
        <v>38</v>
      </c>
      <c r="O83" s="7">
        <v>0.6333333333333333</v>
      </c>
      <c r="P83" s="6">
        <v>0</v>
      </c>
      <c r="Q83" s="15">
        <v>-15</v>
      </c>
    </row>
    <row r="84" spans="1:17" ht="12.75">
      <c r="A84" s="4" t="s">
        <v>22</v>
      </c>
      <c r="B84" s="19" t="s">
        <v>53</v>
      </c>
      <c r="C84" s="15">
        <v>51</v>
      </c>
      <c r="D84" s="6">
        <v>60</v>
      </c>
      <c r="E84" s="6">
        <v>5</v>
      </c>
      <c r="F84" s="6">
        <v>6</v>
      </c>
      <c r="G84" s="6">
        <v>19</v>
      </c>
      <c r="H84" s="6">
        <v>15</v>
      </c>
      <c r="I84" s="6">
        <v>5</v>
      </c>
      <c r="J84" s="6">
        <v>1</v>
      </c>
      <c r="K84" s="6">
        <v>51</v>
      </c>
      <c r="L84" s="6">
        <v>14</v>
      </c>
      <c r="M84" s="6">
        <v>26</v>
      </c>
      <c r="N84" s="6">
        <v>40</v>
      </c>
      <c r="O84" s="7">
        <v>0.7843137254901961</v>
      </c>
      <c r="P84" s="6">
        <v>0</v>
      </c>
      <c r="Q84" s="15">
        <v>-17</v>
      </c>
    </row>
    <row r="85" spans="1:17" ht="12.75">
      <c r="A85" s="4" t="s">
        <v>23</v>
      </c>
      <c r="B85" s="19" t="s">
        <v>51</v>
      </c>
      <c r="C85" s="15">
        <v>50</v>
      </c>
      <c r="D85" s="6">
        <v>61</v>
      </c>
      <c r="E85" s="6">
        <v>6</v>
      </c>
      <c r="F85" s="6">
        <v>13</v>
      </c>
      <c r="G85" s="6">
        <v>9</v>
      </c>
      <c r="H85" s="6">
        <v>12</v>
      </c>
      <c r="I85" s="6">
        <v>8</v>
      </c>
      <c r="J85" s="6">
        <v>2</v>
      </c>
      <c r="K85" s="6">
        <v>52</v>
      </c>
      <c r="L85" s="6">
        <v>14</v>
      </c>
      <c r="M85" s="6">
        <v>17</v>
      </c>
      <c r="N85" s="6">
        <v>31</v>
      </c>
      <c r="O85" s="7">
        <v>0.5961538461538461</v>
      </c>
      <c r="P85" s="6">
        <v>0</v>
      </c>
      <c r="Q85" s="15">
        <v>-18</v>
      </c>
    </row>
    <row r="86" spans="1:17" ht="12.75">
      <c r="A86" s="4" t="s">
        <v>24</v>
      </c>
      <c r="B86" s="19" t="s">
        <v>72</v>
      </c>
      <c r="C86" s="15">
        <v>44</v>
      </c>
      <c r="D86" s="6">
        <v>57</v>
      </c>
      <c r="E86" s="6">
        <v>13</v>
      </c>
      <c r="F86" s="6">
        <v>6</v>
      </c>
      <c r="G86" s="6">
        <v>11</v>
      </c>
      <c r="H86" s="6">
        <v>10</v>
      </c>
      <c r="I86" s="6">
        <v>3</v>
      </c>
      <c r="J86" s="6">
        <v>1</v>
      </c>
      <c r="K86" s="6">
        <v>50</v>
      </c>
      <c r="L86" s="6">
        <v>10</v>
      </c>
      <c r="M86" s="6">
        <v>15</v>
      </c>
      <c r="N86" s="6">
        <v>25</v>
      </c>
      <c r="O86" s="7">
        <v>0.5</v>
      </c>
      <c r="P86" s="6">
        <v>0</v>
      </c>
      <c r="Q86" s="15">
        <v>-24</v>
      </c>
    </row>
    <row r="87" spans="1:17" ht="12.75">
      <c r="A87" s="4" t="s">
        <v>25</v>
      </c>
      <c r="B87" s="19" t="s">
        <v>49</v>
      </c>
      <c r="C87" s="15">
        <v>44</v>
      </c>
      <c r="D87" s="6">
        <v>71</v>
      </c>
      <c r="E87" s="6">
        <v>-2</v>
      </c>
      <c r="F87" s="6">
        <v>3</v>
      </c>
      <c r="G87" s="6">
        <v>25</v>
      </c>
      <c r="H87" s="6">
        <v>14</v>
      </c>
      <c r="I87" s="6">
        <v>3</v>
      </c>
      <c r="J87" s="6">
        <v>1</v>
      </c>
      <c r="K87" s="6">
        <v>62</v>
      </c>
      <c r="L87" s="6">
        <v>13</v>
      </c>
      <c r="M87" s="6">
        <v>30</v>
      </c>
      <c r="N87" s="6">
        <v>43</v>
      </c>
      <c r="O87" s="7">
        <v>0.6935483870967742</v>
      </c>
      <c r="P87" s="6">
        <v>0</v>
      </c>
      <c r="Q87" s="15">
        <v>-24</v>
      </c>
    </row>
    <row r="88" spans="1:17" ht="12.75">
      <c r="A88" s="4" t="s">
        <v>26</v>
      </c>
      <c r="B88" s="19" t="s">
        <v>47</v>
      </c>
      <c r="C88" s="15">
        <v>39</v>
      </c>
      <c r="D88" s="26">
        <v>61</v>
      </c>
      <c r="E88" s="26">
        <v>-8</v>
      </c>
      <c r="F88" s="26">
        <v>8</v>
      </c>
      <c r="G88" s="26">
        <v>17</v>
      </c>
      <c r="H88" s="26">
        <v>6</v>
      </c>
      <c r="I88" s="26">
        <v>3</v>
      </c>
      <c r="J88" s="26">
        <v>13</v>
      </c>
      <c r="K88" s="26">
        <v>47</v>
      </c>
      <c r="L88" s="26">
        <v>13</v>
      </c>
      <c r="M88" s="26">
        <v>13</v>
      </c>
      <c r="N88" s="6">
        <v>26</v>
      </c>
      <c r="O88" s="7">
        <v>0.5531914893617021</v>
      </c>
      <c r="P88" s="6">
        <v>0</v>
      </c>
      <c r="Q88" s="15">
        <v>-29</v>
      </c>
    </row>
    <row r="89" spans="1:17" ht="12.75">
      <c r="A89" s="4" t="s">
        <v>27</v>
      </c>
      <c r="B89" s="19" t="s">
        <v>32</v>
      </c>
      <c r="C89" s="15">
        <v>39</v>
      </c>
      <c r="D89" s="6">
        <v>68</v>
      </c>
      <c r="E89" s="6">
        <v>0</v>
      </c>
      <c r="F89" s="6">
        <v>4</v>
      </c>
      <c r="G89" s="6">
        <v>17</v>
      </c>
      <c r="H89" s="6">
        <v>6</v>
      </c>
      <c r="I89" s="6">
        <v>8</v>
      </c>
      <c r="J89" s="6">
        <v>4</v>
      </c>
      <c r="K89" s="6">
        <v>60</v>
      </c>
      <c r="L89" s="6">
        <v>14</v>
      </c>
      <c r="M89" s="6">
        <v>21</v>
      </c>
      <c r="N89" s="6">
        <v>35</v>
      </c>
      <c r="O89" s="7">
        <v>0.5833333333333334</v>
      </c>
      <c r="P89" s="6">
        <v>0</v>
      </c>
      <c r="Q89" s="15">
        <v>-29</v>
      </c>
    </row>
    <row r="90" spans="1:17" ht="12.75">
      <c r="A90" s="4" t="s">
        <v>28</v>
      </c>
      <c r="B90" s="19" t="s">
        <v>46</v>
      </c>
      <c r="C90" s="15">
        <v>38</v>
      </c>
      <c r="D90" s="6">
        <v>76</v>
      </c>
      <c r="E90" s="6">
        <v>-7</v>
      </c>
      <c r="F90" s="6">
        <v>2</v>
      </c>
      <c r="G90" s="6">
        <v>19</v>
      </c>
      <c r="H90" s="6">
        <v>10</v>
      </c>
      <c r="I90" s="6">
        <v>11</v>
      </c>
      <c r="J90" s="6">
        <v>3</v>
      </c>
      <c r="K90" s="6">
        <v>67</v>
      </c>
      <c r="L90" s="6">
        <v>19</v>
      </c>
      <c r="M90" s="6">
        <v>24</v>
      </c>
      <c r="N90" s="6">
        <v>43</v>
      </c>
      <c r="O90" s="7">
        <v>0.6417910447761194</v>
      </c>
      <c r="P90" s="6">
        <v>0</v>
      </c>
      <c r="Q90" s="15">
        <v>-30</v>
      </c>
    </row>
    <row r="91" spans="5:8" ht="13.5" thickBot="1">
      <c r="E91" s="61"/>
      <c r="F91" s="62"/>
      <c r="G91" s="64"/>
      <c r="H91" s="63"/>
    </row>
    <row r="92" spans="1:17" ht="27.75">
      <c r="A92" s="118" t="s">
        <v>143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20"/>
    </row>
    <row r="93" spans="1:17" ht="12.75">
      <c r="A93" s="3"/>
      <c r="B93" s="3"/>
      <c r="C93" s="3"/>
      <c r="D93" s="3"/>
      <c r="E93" s="122" t="s">
        <v>1</v>
      </c>
      <c r="F93" s="122"/>
      <c r="G93" s="122"/>
      <c r="H93" s="122"/>
      <c r="I93" s="122"/>
      <c r="J93" s="122"/>
      <c r="K93" s="14"/>
      <c r="L93" s="1"/>
      <c r="M93" s="1"/>
      <c r="N93" s="1"/>
      <c r="O93" s="1"/>
      <c r="P93" s="1"/>
      <c r="Q93" s="1"/>
    </row>
    <row r="94" spans="1:17" ht="65.25" thickBot="1">
      <c r="A94" s="33" t="s">
        <v>2</v>
      </c>
      <c r="B94" s="33" t="s">
        <v>3</v>
      </c>
      <c r="C94" s="34" t="s">
        <v>1</v>
      </c>
      <c r="D94" s="35" t="s">
        <v>4</v>
      </c>
      <c r="E94" s="36" t="s">
        <v>5</v>
      </c>
      <c r="F94" s="36" t="s">
        <v>6</v>
      </c>
      <c r="G94" s="36" t="s">
        <v>7</v>
      </c>
      <c r="H94" s="36" t="s">
        <v>8</v>
      </c>
      <c r="I94" s="36" t="s">
        <v>9</v>
      </c>
      <c r="J94" s="36" t="s">
        <v>10</v>
      </c>
      <c r="K94" s="37" t="s">
        <v>11</v>
      </c>
      <c r="L94" s="37" t="s">
        <v>12</v>
      </c>
      <c r="M94" s="37" t="s">
        <v>13</v>
      </c>
      <c r="N94" s="37" t="s">
        <v>14</v>
      </c>
      <c r="O94" s="38" t="s">
        <v>15</v>
      </c>
      <c r="P94" s="38" t="s">
        <v>16</v>
      </c>
      <c r="Q94" s="39" t="s">
        <v>17</v>
      </c>
    </row>
    <row r="95" spans="1:17" ht="12.75">
      <c r="A95" s="23" t="s">
        <v>18</v>
      </c>
      <c r="B95" s="24" t="s">
        <v>51</v>
      </c>
      <c r="C95" s="31">
        <v>66</v>
      </c>
      <c r="D95" s="26">
        <v>64</v>
      </c>
      <c r="E95" s="26">
        <v>5</v>
      </c>
      <c r="F95" s="26">
        <v>11</v>
      </c>
      <c r="G95" s="26">
        <v>19</v>
      </c>
      <c r="H95" s="26">
        <v>16</v>
      </c>
      <c r="I95" s="26">
        <v>13</v>
      </c>
      <c r="J95" s="26">
        <v>2</v>
      </c>
      <c r="K95" s="26">
        <v>56</v>
      </c>
      <c r="L95" s="26">
        <v>26</v>
      </c>
      <c r="M95" s="26">
        <v>24</v>
      </c>
      <c r="N95" s="26">
        <v>50</v>
      </c>
      <c r="O95" s="27">
        <v>0.8928571428571429</v>
      </c>
      <c r="P95" s="26">
        <v>0</v>
      </c>
      <c r="Q95" s="32" t="s">
        <v>19</v>
      </c>
    </row>
    <row r="96" spans="1:17" ht="12.75">
      <c r="A96" s="4" t="s">
        <v>20</v>
      </c>
      <c r="B96" s="19" t="s">
        <v>52</v>
      </c>
      <c r="C96" s="15">
        <v>61</v>
      </c>
      <c r="D96" s="6">
        <v>64</v>
      </c>
      <c r="E96" s="6">
        <v>4</v>
      </c>
      <c r="F96" s="6">
        <v>6</v>
      </c>
      <c r="G96" s="6">
        <v>24</v>
      </c>
      <c r="H96" s="6">
        <v>14</v>
      </c>
      <c r="I96" s="6">
        <v>10</v>
      </c>
      <c r="J96" s="6">
        <v>3</v>
      </c>
      <c r="K96" s="6">
        <v>57</v>
      </c>
      <c r="L96" s="6">
        <v>15</v>
      </c>
      <c r="M96" s="6">
        <v>36</v>
      </c>
      <c r="N96" s="6">
        <v>51</v>
      </c>
      <c r="O96" s="7">
        <v>0.8947368421052632</v>
      </c>
      <c r="P96" s="6">
        <v>0</v>
      </c>
      <c r="Q96" s="15">
        <v>-5</v>
      </c>
    </row>
    <row r="97" spans="1:17" ht="12.75">
      <c r="A97" s="4" t="s">
        <v>21</v>
      </c>
      <c r="B97" s="19" t="s">
        <v>32</v>
      </c>
      <c r="C97" s="15">
        <v>59</v>
      </c>
      <c r="D97" s="6">
        <v>58</v>
      </c>
      <c r="E97" s="6">
        <v>7</v>
      </c>
      <c r="F97" s="6">
        <v>14</v>
      </c>
      <c r="G97" s="6">
        <v>16</v>
      </c>
      <c r="H97" s="6">
        <v>15</v>
      </c>
      <c r="I97" s="6">
        <v>7</v>
      </c>
      <c r="J97" s="6">
        <v>0</v>
      </c>
      <c r="K97" s="6">
        <v>50</v>
      </c>
      <c r="L97" s="6">
        <v>14</v>
      </c>
      <c r="M97" s="6">
        <v>24</v>
      </c>
      <c r="N97" s="6">
        <v>38</v>
      </c>
      <c r="O97" s="7">
        <v>0.76</v>
      </c>
      <c r="P97" s="6">
        <v>0</v>
      </c>
      <c r="Q97" s="15">
        <v>-7</v>
      </c>
    </row>
    <row r="98" spans="1:17" ht="12.75">
      <c r="A98" s="4" t="s">
        <v>22</v>
      </c>
      <c r="B98" s="19" t="s">
        <v>50</v>
      </c>
      <c r="C98" s="15">
        <v>53</v>
      </c>
      <c r="D98" s="6">
        <v>60</v>
      </c>
      <c r="E98" s="6">
        <v>6</v>
      </c>
      <c r="F98" s="6">
        <v>4</v>
      </c>
      <c r="G98" s="6">
        <v>18</v>
      </c>
      <c r="H98" s="6">
        <v>9</v>
      </c>
      <c r="I98" s="6">
        <v>6</v>
      </c>
      <c r="J98" s="6">
        <v>10</v>
      </c>
      <c r="K98" s="6">
        <v>49</v>
      </c>
      <c r="L98" s="6">
        <v>19</v>
      </c>
      <c r="M98" s="6">
        <v>14</v>
      </c>
      <c r="N98" s="6">
        <v>33</v>
      </c>
      <c r="O98" s="7">
        <v>0.673469387755102</v>
      </c>
      <c r="P98" s="6">
        <v>0</v>
      </c>
      <c r="Q98" s="15">
        <v>-13</v>
      </c>
    </row>
    <row r="99" spans="1:17" ht="12.75">
      <c r="A99" s="4" t="s">
        <v>23</v>
      </c>
      <c r="B99" s="19" t="s">
        <v>46</v>
      </c>
      <c r="C99" s="15">
        <v>52</v>
      </c>
      <c r="D99" s="6">
        <v>57</v>
      </c>
      <c r="E99" s="6">
        <v>9</v>
      </c>
      <c r="F99" s="6">
        <v>9</v>
      </c>
      <c r="G99" s="6">
        <v>16</v>
      </c>
      <c r="H99" s="6">
        <v>8</v>
      </c>
      <c r="I99" s="6">
        <v>7</v>
      </c>
      <c r="J99" s="6">
        <v>3</v>
      </c>
      <c r="K99" s="6">
        <v>50</v>
      </c>
      <c r="L99" s="6">
        <v>13</v>
      </c>
      <c r="M99" s="6">
        <v>21</v>
      </c>
      <c r="N99" s="6">
        <v>34</v>
      </c>
      <c r="O99" s="7">
        <v>0.68</v>
      </c>
      <c r="P99" s="6">
        <v>0</v>
      </c>
      <c r="Q99" s="15">
        <v>-14</v>
      </c>
    </row>
    <row r="100" spans="1:17" ht="12.75">
      <c r="A100" s="4" t="s">
        <v>24</v>
      </c>
      <c r="B100" s="19" t="s">
        <v>49</v>
      </c>
      <c r="C100" s="15">
        <v>43</v>
      </c>
      <c r="D100" s="6">
        <v>62</v>
      </c>
      <c r="E100" s="6">
        <v>-3</v>
      </c>
      <c r="F100" s="6">
        <v>8</v>
      </c>
      <c r="G100" s="6">
        <v>17</v>
      </c>
      <c r="H100" s="6">
        <v>5</v>
      </c>
      <c r="I100" s="6">
        <v>11</v>
      </c>
      <c r="J100" s="6">
        <v>5</v>
      </c>
      <c r="K100" s="6">
        <v>54</v>
      </c>
      <c r="L100" s="6">
        <v>14</v>
      </c>
      <c r="M100" s="6">
        <v>24</v>
      </c>
      <c r="N100" s="6">
        <v>38</v>
      </c>
      <c r="O100" s="7">
        <v>0.7037037037037037</v>
      </c>
      <c r="P100" s="6">
        <v>0</v>
      </c>
      <c r="Q100" s="15">
        <v>-23</v>
      </c>
    </row>
    <row r="101" spans="1:17" ht="12.75">
      <c r="A101" s="4" t="s">
        <v>25</v>
      </c>
      <c r="B101" s="19" t="s">
        <v>72</v>
      </c>
      <c r="C101" s="15">
        <v>38</v>
      </c>
      <c r="D101" s="6">
        <v>56</v>
      </c>
      <c r="E101" s="6">
        <v>-4</v>
      </c>
      <c r="F101" s="6">
        <v>14</v>
      </c>
      <c r="G101" s="6">
        <v>12</v>
      </c>
      <c r="H101" s="6">
        <v>6</v>
      </c>
      <c r="I101" s="6">
        <v>7</v>
      </c>
      <c r="J101" s="6">
        <v>3</v>
      </c>
      <c r="K101" s="6">
        <v>48</v>
      </c>
      <c r="L101" s="6">
        <v>11</v>
      </c>
      <c r="M101" s="6">
        <v>17</v>
      </c>
      <c r="N101" s="6">
        <v>28</v>
      </c>
      <c r="O101" s="7">
        <v>0.5833333333333334</v>
      </c>
      <c r="P101" s="6">
        <v>0</v>
      </c>
      <c r="Q101" s="15">
        <v>-28</v>
      </c>
    </row>
    <row r="102" spans="1:17" ht="12.75">
      <c r="A102" s="4" t="s">
        <v>26</v>
      </c>
      <c r="B102" s="19" t="s">
        <v>53</v>
      </c>
      <c r="C102" s="15">
        <v>33</v>
      </c>
      <c r="D102" s="26">
        <v>60</v>
      </c>
      <c r="E102" s="26">
        <v>4</v>
      </c>
      <c r="F102" s="26">
        <v>2</v>
      </c>
      <c r="G102" s="26">
        <v>8</v>
      </c>
      <c r="H102" s="26">
        <v>8</v>
      </c>
      <c r="I102" s="26">
        <v>11</v>
      </c>
      <c r="J102" s="26">
        <v>0</v>
      </c>
      <c r="K102" s="26">
        <v>52</v>
      </c>
      <c r="L102" s="26">
        <v>6</v>
      </c>
      <c r="M102" s="26">
        <v>21</v>
      </c>
      <c r="N102" s="6">
        <v>27</v>
      </c>
      <c r="O102" s="7">
        <v>0.5192307692307693</v>
      </c>
      <c r="P102" s="6">
        <v>0</v>
      </c>
      <c r="Q102" s="15">
        <v>-33</v>
      </c>
    </row>
    <row r="103" spans="1:17" ht="12.75">
      <c r="A103" s="4" t="s">
        <v>27</v>
      </c>
      <c r="B103" s="19" t="s">
        <v>47</v>
      </c>
      <c r="C103" s="15">
        <v>28</v>
      </c>
      <c r="D103" s="6">
        <v>61</v>
      </c>
      <c r="E103" s="6">
        <v>-2</v>
      </c>
      <c r="F103" s="6">
        <v>0</v>
      </c>
      <c r="G103" s="6">
        <v>12</v>
      </c>
      <c r="H103" s="6">
        <v>8</v>
      </c>
      <c r="I103" s="6">
        <v>5</v>
      </c>
      <c r="J103" s="6">
        <v>5</v>
      </c>
      <c r="K103" s="6">
        <v>51</v>
      </c>
      <c r="L103" s="6">
        <v>12</v>
      </c>
      <c r="M103" s="6">
        <v>13</v>
      </c>
      <c r="N103" s="6">
        <v>25</v>
      </c>
      <c r="O103" s="7">
        <v>0.49019607843137253</v>
      </c>
      <c r="P103" s="6">
        <v>0</v>
      </c>
      <c r="Q103" s="15">
        <v>-38</v>
      </c>
    </row>
    <row r="104" spans="1:17" ht="12.75">
      <c r="A104" s="4" t="s">
        <v>28</v>
      </c>
      <c r="B104" s="19" t="s">
        <v>48</v>
      </c>
      <c r="C104" s="15">
        <v>26</v>
      </c>
      <c r="D104" s="6">
        <v>62</v>
      </c>
      <c r="E104" s="6">
        <v>-2</v>
      </c>
      <c r="F104" s="6">
        <v>2</v>
      </c>
      <c r="G104" s="6">
        <v>13</v>
      </c>
      <c r="H104" s="6">
        <v>6</v>
      </c>
      <c r="I104" s="6">
        <v>7</v>
      </c>
      <c r="J104" s="6">
        <v>0</v>
      </c>
      <c r="K104" s="6">
        <v>56</v>
      </c>
      <c r="L104" s="6">
        <v>11</v>
      </c>
      <c r="M104" s="6">
        <v>15</v>
      </c>
      <c r="N104" s="6">
        <v>26</v>
      </c>
      <c r="O104" s="7">
        <v>0.4642857142857143</v>
      </c>
      <c r="P104" s="6">
        <v>0</v>
      </c>
      <c r="Q104" s="15">
        <v>-40</v>
      </c>
    </row>
    <row r="105" spans="5:8" ht="13.5" thickBot="1">
      <c r="E105" s="61"/>
      <c r="F105" s="62"/>
      <c r="G105" s="64"/>
      <c r="H105" s="63"/>
    </row>
    <row r="106" spans="1:17" ht="27.75">
      <c r="A106" s="118" t="s">
        <v>142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</row>
    <row r="107" spans="1:17" ht="12.75">
      <c r="A107" s="3"/>
      <c r="B107" s="3"/>
      <c r="C107" s="3"/>
      <c r="D107" s="3"/>
      <c r="E107" s="122" t="s">
        <v>1</v>
      </c>
      <c r="F107" s="122"/>
      <c r="G107" s="122"/>
      <c r="H107" s="122"/>
      <c r="I107" s="122"/>
      <c r="J107" s="122"/>
      <c r="K107" s="14"/>
      <c r="L107" s="1"/>
      <c r="M107" s="1"/>
      <c r="N107" s="1"/>
      <c r="O107" s="1"/>
      <c r="P107" s="1"/>
      <c r="Q107" s="1"/>
    </row>
    <row r="108" spans="1:17" ht="65.25" thickBot="1">
      <c r="A108" s="33" t="s">
        <v>2</v>
      </c>
      <c r="B108" s="33" t="s">
        <v>3</v>
      </c>
      <c r="C108" s="34" t="s">
        <v>1</v>
      </c>
      <c r="D108" s="35" t="s">
        <v>4</v>
      </c>
      <c r="E108" s="36" t="s">
        <v>5</v>
      </c>
      <c r="F108" s="36" t="s">
        <v>6</v>
      </c>
      <c r="G108" s="36" t="s">
        <v>7</v>
      </c>
      <c r="H108" s="36" t="s">
        <v>8</v>
      </c>
      <c r="I108" s="36" t="s">
        <v>9</v>
      </c>
      <c r="J108" s="36" t="s">
        <v>10</v>
      </c>
      <c r="K108" s="37" t="s">
        <v>11</v>
      </c>
      <c r="L108" s="37" t="s">
        <v>12</v>
      </c>
      <c r="M108" s="37" t="s">
        <v>13</v>
      </c>
      <c r="N108" s="37" t="s">
        <v>14</v>
      </c>
      <c r="O108" s="38" t="s">
        <v>15</v>
      </c>
      <c r="P108" s="38" t="s">
        <v>16</v>
      </c>
      <c r="Q108" s="39" t="s">
        <v>17</v>
      </c>
    </row>
    <row r="109" spans="1:17" ht="12.75">
      <c r="A109" s="23" t="s">
        <v>18</v>
      </c>
      <c r="B109" s="24" t="s">
        <v>47</v>
      </c>
      <c r="C109" s="31">
        <v>37</v>
      </c>
      <c r="D109" s="26">
        <v>41</v>
      </c>
      <c r="E109" s="26">
        <v>2</v>
      </c>
      <c r="F109" s="26">
        <v>4</v>
      </c>
      <c r="G109" s="26">
        <v>15</v>
      </c>
      <c r="H109" s="26">
        <v>4</v>
      </c>
      <c r="I109" s="26">
        <v>6</v>
      </c>
      <c r="J109" s="26">
        <v>6</v>
      </c>
      <c r="K109" s="26">
        <v>32</v>
      </c>
      <c r="L109" s="26">
        <v>9</v>
      </c>
      <c r="M109" s="26">
        <v>16</v>
      </c>
      <c r="N109" s="26">
        <v>25</v>
      </c>
      <c r="O109" s="27">
        <v>0.78125</v>
      </c>
      <c r="P109" s="26">
        <v>0</v>
      </c>
      <c r="Q109" s="32" t="s">
        <v>19</v>
      </c>
    </row>
    <row r="110" spans="1:17" ht="12.75">
      <c r="A110" s="4" t="s">
        <v>20</v>
      </c>
      <c r="B110" s="19" t="s">
        <v>48</v>
      </c>
      <c r="C110" s="15">
        <v>35</v>
      </c>
      <c r="D110" s="6">
        <v>27</v>
      </c>
      <c r="E110" s="6">
        <v>1</v>
      </c>
      <c r="F110" s="6">
        <v>2</v>
      </c>
      <c r="G110" s="6">
        <v>12</v>
      </c>
      <c r="H110" s="6">
        <v>9</v>
      </c>
      <c r="I110" s="6">
        <v>7</v>
      </c>
      <c r="J110" s="6">
        <v>4</v>
      </c>
      <c r="K110" s="6">
        <v>34</v>
      </c>
      <c r="L110" s="6">
        <v>15</v>
      </c>
      <c r="M110" s="6">
        <v>17</v>
      </c>
      <c r="N110" s="6">
        <v>32</v>
      </c>
      <c r="O110" s="7">
        <v>0.9411764705882353</v>
      </c>
      <c r="P110" s="6">
        <v>0</v>
      </c>
      <c r="Q110" s="15">
        <v>-2</v>
      </c>
    </row>
    <row r="111" spans="1:17" ht="12.75">
      <c r="A111" s="4" t="s">
        <v>21</v>
      </c>
      <c r="B111" s="19" t="s">
        <v>52</v>
      </c>
      <c r="C111" s="15">
        <v>33</v>
      </c>
      <c r="D111" s="6">
        <v>45</v>
      </c>
      <c r="E111" s="6">
        <v>2</v>
      </c>
      <c r="F111" s="6">
        <v>4</v>
      </c>
      <c r="G111" s="6">
        <v>11</v>
      </c>
      <c r="H111" s="6">
        <v>9</v>
      </c>
      <c r="I111" s="6">
        <v>4</v>
      </c>
      <c r="J111" s="6">
        <v>3</v>
      </c>
      <c r="K111" s="6">
        <v>40</v>
      </c>
      <c r="L111" s="6">
        <v>14</v>
      </c>
      <c r="M111" s="6">
        <v>13</v>
      </c>
      <c r="N111" s="6">
        <v>27</v>
      </c>
      <c r="O111" s="7">
        <v>0.675</v>
      </c>
      <c r="P111" s="6">
        <v>0</v>
      </c>
      <c r="Q111" s="15">
        <v>-4</v>
      </c>
    </row>
    <row r="112" spans="1:17" ht="12.75">
      <c r="A112" s="4" t="s">
        <v>22</v>
      </c>
      <c r="B112" s="19" t="s">
        <v>49</v>
      </c>
      <c r="C112" s="15">
        <v>32</v>
      </c>
      <c r="D112" s="6">
        <v>44</v>
      </c>
      <c r="E112" s="6">
        <v>-5</v>
      </c>
      <c r="F112" s="6">
        <v>13</v>
      </c>
      <c r="G112" s="6">
        <v>13</v>
      </c>
      <c r="H112" s="6">
        <v>6</v>
      </c>
      <c r="I112" s="6">
        <v>4</v>
      </c>
      <c r="J112" s="6">
        <v>1</v>
      </c>
      <c r="K112" s="6">
        <v>37</v>
      </c>
      <c r="L112" s="6">
        <v>6</v>
      </c>
      <c r="M112" s="6">
        <v>18</v>
      </c>
      <c r="N112" s="6">
        <v>24</v>
      </c>
      <c r="O112" s="7">
        <v>0.6486486486486487</v>
      </c>
      <c r="P112" s="6">
        <v>0</v>
      </c>
      <c r="Q112" s="15">
        <v>-5</v>
      </c>
    </row>
    <row r="113" spans="1:17" ht="12.75">
      <c r="A113" s="4" t="s">
        <v>23</v>
      </c>
      <c r="B113" s="19" t="s">
        <v>50</v>
      </c>
      <c r="C113" s="15">
        <v>31</v>
      </c>
      <c r="D113" s="6">
        <v>38</v>
      </c>
      <c r="E113" s="6">
        <v>3</v>
      </c>
      <c r="F113" s="6">
        <v>2</v>
      </c>
      <c r="G113" s="6">
        <v>12</v>
      </c>
      <c r="H113" s="6">
        <v>3</v>
      </c>
      <c r="I113" s="6">
        <v>8</v>
      </c>
      <c r="J113" s="6">
        <v>3</v>
      </c>
      <c r="K113" s="6">
        <v>29</v>
      </c>
      <c r="L113" s="6">
        <v>6</v>
      </c>
      <c r="M113" s="6">
        <v>17</v>
      </c>
      <c r="N113" s="6">
        <v>23</v>
      </c>
      <c r="O113" s="7">
        <v>0.7931034482758621</v>
      </c>
      <c r="P113" s="6">
        <v>0</v>
      </c>
      <c r="Q113" s="15">
        <v>-6</v>
      </c>
    </row>
    <row r="114" spans="1:17" ht="12.75">
      <c r="A114" s="4" t="s">
        <v>24</v>
      </c>
      <c r="B114" s="19" t="s">
        <v>51</v>
      </c>
      <c r="C114" s="15">
        <v>30</v>
      </c>
      <c r="D114" s="6">
        <v>34</v>
      </c>
      <c r="E114" s="6">
        <v>4</v>
      </c>
      <c r="F114" s="6">
        <v>8</v>
      </c>
      <c r="G114" s="6">
        <v>7</v>
      </c>
      <c r="H114" s="6">
        <v>4</v>
      </c>
      <c r="I114" s="6">
        <v>5</v>
      </c>
      <c r="J114" s="6">
        <v>2</v>
      </c>
      <c r="K114" s="6">
        <v>28</v>
      </c>
      <c r="L114" s="6">
        <v>7</v>
      </c>
      <c r="M114" s="6">
        <v>11</v>
      </c>
      <c r="N114" s="6">
        <v>18</v>
      </c>
      <c r="O114" s="7">
        <v>0.6428571428571429</v>
      </c>
      <c r="P114" s="6">
        <v>0</v>
      </c>
      <c r="Q114" s="15">
        <v>-7</v>
      </c>
    </row>
    <row r="115" spans="1:17" ht="12.75">
      <c r="A115" s="4" t="s">
        <v>25</v>
      </c>
      <c r="B115" s="19" t="s">
        <v>32</v>
      </c>
      <c r="C115" s="15">
        <v>26</v>
      </c>
      <c r="D115" s="6">
        <v>37</v>
      </c>
      <c r="E115" s="6">
        <v>3</v>
      </c>
      <c r="F115" s="6">
        <v>7</v>
      </c>
      <c r="G115" s="6">
        <v>4</v>
      </c>
      <c r="H115" s="6">
        <v>7</v>
      </c>
      <c r="I115" s="6">
        <v>4</v>
      </c>
      <c r="J115" s="6">
        <v>1</v>
      </c>
      <c r="K115" s="6">
        <v>33</v>
      </c>
      <c r="L115" s="6">
        <v>7</v>
      </c>
      <c r="M115" s="6">
        <v>9</v>
      </c>
      <c r="N115" s="6">
        <v>16</v>
      </c>
      <c r="O115" s="7">
        <v>0.48484848484848486</v>
      </c>
      <c r="P115" s="6">
        <v>0</v>
      </c>
      <c r="Q115" s="15">
        <v>-11</v>
      </c>
    </row>
    <row r="116" spans="1:17" ht="12.75">
      <c r="A116" s="4" t="s">
        <v>26</v>
      </c>
      <c r="B116" s="19" t="s">
        <v>46</v>
      </c>
      <c r="C116" s="15">
        <v>26</v>
      </c>
      <c r="D116" s="26">
        <v>46</v>
      </c>
      <c r="E116" s="26">
        <v>-1</v>
      </c>
      <c r="F116" s="26">
        <v>2</v>
      </c>
      <c r="G116" s="26">
        <v>12</v>
      </c>
      <c r="H116" s="26">
        <v>3</v>
      </c>
      <c r="I116" s="26">
        <v>8</v>
      </c>
      <c r="J116" s="26">
        <v>2</v>
      </c>
      <c r="K116" s="26">
        <v>41</v>
      </c>
      <c r="L116" s="26">
        <v>6</v>
      </c>
      <c r="M116" s="26">
        <v>19</v>
      </c>
      <c r="N116" s="6">
        <v>25</v>
      </c>
      <c r="O116" s="7">
        <v>0.6097560975609756</v>
      </c>
      <c r="P116" s="6">
        <v>0</v>
      </c>
      <c r="Q116" s="15">
        <v>-11</v>
      </c>
    </row>
    <row r="117" spans="1:17" ht="12.75">
      <c r="A117" s="4" t="s">
        <v>27</v>
      </c>
      <c r="B117" s="19" t="s">
        <v>72</v>
      </c>
      <c r="C117" s="15">
        <v>22</v>
      </c>
      <c r="D117" s="6">
        <v>39</v>
      </c>
      <c r="E117" s="6">
        <v>-3</v>
      </c>
      <c r="F117" s="6">
        <v>4</v>
      </c>
      <c r="G117" s="6">
        <v>9</v>
      </c>
      <c r="H117" s="6">
        <v>2</v>
      </c>
      <c r="I117" s="6">
        <v>8</v>
      </c>
      <c r="J117" s="6">
        <v>2</v>
      </c>
      <c r="K117" s="6">
        <v>34</v>
      </c>
      <c r="L117" s="6">
        <v>8</v>
      </c>
      <c r="M117" s="6">
        <v>13</v>
      </c>
      <c r="N117" s="6">
        <v>21</v>
      </c>
      <c r="O117" s="7">
        <v>0.6176470588235294</v>
      </c>
      <c r="P117" s="6">
        <v>0</v>
      </c>
      <c r="Q117" s="15">
        <v>-15</v>
      </c>
    </row>
    <row r="118" spans="1:17" ht="12.75">
      <c r="A118" s="4" t="s">
        <v>28</v>
      </c>
      <c r="B118" s="19" t="s">
        <v>53</v>
      </c>
      <c r="C118" s="15">
        <v>18</v>
      </c>
      <c r="D118" s="6">
        <v>42</v>
      </c>
      <c r="E118" s="6">
        <v>-5</v>
      </c>
      <c r="F118" s="6">
        <v>1</v>
      </c>
      <c r="G118" s="6">
        <v>6</v>
      </c>
      <c r="H118" s="6">
        <v>9</v>
      </c>
      <c r="I118" s="6">
        <v>6</v>
      </c>
      <c r="J118" s="6">
        <v>1</v>
      </c>
      <c r="K118" s="6">
        <v>38</v>
      </c>
      <c r="L118" s="6">
        <v>7</v>
      </c>
      <c r="M118" s="6">
        <v>15</v>
      </c>
      <c r="N118" s="6">
        <v>22</v>
      </c>
      <c r="O118" s="7">
        <v>0.5789473684210527</v>
      </c>
      <c r="P118" s="6">
        <v>0</v>
      </c>
      <c r="Q118" s="15">
        <v>-19</v>
      </c>
    </row>
    <row r="119" spans="5:8" ht="13.5" thickBot="1">
      <c r="E119" s="61"/>
      <c r="F119" s="62"/>
      <c r="G119" s="64"/>
      <c r="H119" s="63"/>
    </row>
    <row r="120" spans="1:17" ht="27.75">
      <c r="A120" s="118" t="s">
        <v>140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20"/>
    </row>
    <row r="121" spans="1:17" ht="12.75">
      <c r="A121" s="3"/>
      <c r="B121" s="3"/>
      <c r="C121" s="3"/>
      <c r="D121" s="3"/>
      <c r="E121" s="122" t="s">
        <v>1</v>
      </c>
      <c r="F121" s="122"/>
      <c r="G121" s="122"/>
      <c r="H121" s="122"/>
      <c r="I121" s="122"/>
      <c r="J121" s="122"/>
      <c r="K121" s="14"/>
      <c r="L121" s="1"/>
      <c r="M121" s="1"/>
      <c r="N121" s="1"/>
      <c r="O121" s="1"/>
      <c r="P121" s="1"/>
      <c r="Q121" s="1"/>
    </row>
    <row r="122" spans="1:17" ht="65.25" thickBot="1">
      <c r="A122" s="33" t="s">
        <v>2</v>
      </c>
      <c r="B122" s="33" t="s">
        <v>3</v>
      </c>
      <c r="C122" s="34" t="s">
        <v>1</v>
      </c>
      <c r="D122" s="35" t="s">
        <v>4</v>
      </c>
      <c r="E122" s="36" t="s">
        <v>5</v>
      </c>
      <c r="F122" s="36" t="s">
        <v>6</v>
      </c>
      <c r="G122" s="36" t="s">
        <v>7</v>
      </c>
      <c r="H122" s="36" t="s">
        <v>8</v>
      </c>
      <c r="I122" s="36" t="s">
        <v>9</v>
      </c>
      <c r="J122" s="36" t="s">
        <v>10</v>
      </c>
      <c r="K122" s="37" t="s">
        <v>11</v>
      </c>
      <c r="L122" s="37" t="s">
        <v>12</v>
      </c>
      <c r="M122" s="37" t="s">
        <v>13</v>
      </c>
      <c r="N122" s="37" t="s">
        <v>14</v>
      </c>
      <c r="O122" s="38" t="s">
        <v>15</v>
      </c>
      <c r="P122" s="38" t="s">
        <v>16</v>
      </c>
      <c r="Q122" s="39" t="s">
        <v>17</v>
      </c>
    </row>
    <row r="123" spans="1:17" ht="12.75">
      <c r="A123" s="23" t="s">
        <v>18</v>
      </c>
      <c r="B123" s="24" t="s">
        <v>32</v>
      </c>
      <c r="C123" s="31">
        <v>70</v>
      </c>
      <c r="D123" s="26">
        <v>78</v>
      </c>
      <c r="E123" s="26">
        <v>10</v>
      </c>
      <c r="F123" s="26">
        <v>8</v>
      </c>
      <c r="G123" s="26">
        <v>24</v>
      </c>
      <c r="H123" s="26">
        <v>15</v>
      </c>
      <c r="I123" s="26">
        <v>10</v>
      </c>
      <c r="J123" s="26">
        <v>3</v>
      </c>
      <c r="K123" s="26">
        <v>69</v>
      </c>
      <c r="L123" s="26">
        <v>22</v>
      </c>
      <c r="M123" s="26">
        <v>30</v>
      </c>
      <c r="N123" s="26">
        <v>52</v>
      </c>
      <c r="O123" s="27">
        <v>0.7536231884057971</v>
      </c>
      <c r="P123" s="26">
        <v>0</v>
      </c>
      <c r="Q123" s="32" t="s">
        <v>19</v>
      </c>
    </row>
    <row r="124" spans="1:17" ht="12.75">
      <c r="A124" s="4" t="s">
        <v>20</v>
      </c>
      <c r="B124" s="19" t="s">
        <v>46</v>
      </c>
      <c r="C124" s="15">
        <v>65</v>
      </c>
      <c r="D124" s="6">
        <v>74</v>
      </c>
      <c r="E124" s="6">
        <v>6</v>
      </c>
      <c r="F124" s="6">
        <v>11</v>
      </c>
      <c r="G124" s="6">
        <v>25</v>
      </c>
      <c r="H124" s="6">
        <v>8</v>
      </c>
      <c r="I124" s="6">
        <v>12</v>
      </c>
      <c r="J124" s="6">
        <v>3</v>
      </c>
      <c r="K124" s="6">
        <v>63</v>
      </c>
      <c r="L124" s="6">
        <v>18</v>
      </c>
      <c r="M124" s="6">
        <v>30</v>
      </c>
      <c r="N124" s="6">
        <v>48</v>
      </c>
      <c r="O124" s="7">
        <v>0.7619047619047619</v>
      </c>
      <c r="P124" s="6">
        <v>0</v>
      </c>
      <c r="Q124" s="15">
        <v>-5</v>
      </c>
    </row>
    <row r="125" spans="1:17" ht="12.75">
      <c r="A125" s="4" t="s">
        <v>21</v>
      </c>
      <c r="B125" s="19" t="s">
        <v>52</v>
      </c>
      <c r="C125" s="15">
        <v>58</v>
      </c>
      <c r="D125" s="6">
        <v>64</v>
      </c>
      <c r="E125" s="6">
        <v>5</v>
      </c>
      <c r="F125" s="6">
        <v>10</v>
      </c>
      <c r="G125" s="6">
        <v>16</v>
      </c>
      <c r="H125" s="6">
        <v>15</v>
      </c>
      <c r="I125" s="6">
        <v>8</v>
      </c>
      <c r="J125" s="6">
        <v>4</v>
      </c>
      <c r="K125" s="6">
        <v>57</v>
      </c>
      <c r="L125" s="6">
        <v>18</v>
      </c>
      <c r="M125" s="6">
        <v>25</v>
      </c>
      <c r="N125" s="6">
        <v>43</v>
      </c>
      <c r="O125" s="7">
        <v>0.7543859649122807</v>
      </c>
      <c r="P125" s="6">
        <v>0</v>
      </c>
      <c r="Q125" s="15">
        <v>-12</v>
      </c>
    </row>
    <row r="126" spans="1:17" ht="12.75">
      <c r="A126" s="4" t="s">
        <v>22</v>
      </c>
      <c r="B126" s="19" t="s">
        <v>51</v>
      </c>
      <c r="C126" s="15">
        <v>57</v>
      </c>
      <c r="D126" s="6">
        <v>69</v>
      </c>
      <c r="E126" s="6">
        <v>5</v>
      </c>
      <c r="F126" s="6">
        <v>8</v>
      </c>
      <c r="G126" s="6">
        <v>22</v>
      </c>
      <c r="H126" s="6">
        <v>16</v>
      </c>
      <c r="I126" s="6">
        <v>5</v>
      </c>
      <c r="J126" s="6">
        <v>1</v>
      </c>
      <c r="K126" s="6">
        <v>61</v>
      </c>
      <c r="L126" s="6">
        <v>16</v>
      </c>
      <c r="M126" s="6">
        <v>28</v>
      </c>
      <c r="N126" s="6">
        <v>44</v>
      </c>
      <c r="O126" s="7">
        <v>0.7213114754098361</v>
      </c>
      <c r="P126" s="6">
        <v>0</v>
      </c>
      <c r="Q126" s="15">
        <v>-13</v>
      </c>
    </row>
    <row r="127" spans="1:17" ht="12.75">
      <c r="A127" s="4" t="s">
        <v>23</v>
      </c>
      <c r="B127" s="19" t="s">
        <v>72</v>
      </c>
      <c r="C127" s="15">
        <v>57</v>
      </c>
      <c r="D127" s="6">
        <v>70</v>
      </c>
      <c r="E127" s="6">
        <v>8</v>
      </c>
      <c r="F127" s="6">
        <v>8</v>
      </c>
      <c r="G127" s="6">
        <v>15</v>
      </c>
      <c r="H127" s="6">
        <v>16</v>
      </c>
      <c r="I127" s="6">
        <v>10</v>
      </c>
      <c r="J127" s="6">
        <v>0</v>
      </c>
      <c r="K127" s="6">
        <v>60</v>
      </c>
      <c r="L127" s="6">
        <v>10</v>
      </c>
      <c r="M127" s="6">
        <v>31</v>
      </c>
      <c r="N127" s="6">
        <v>41</v>
      </c>
      <c r="O127" s="7">
        <v>0.6833333333333333</v>
      </c>
      <c r="P127" s="6">
        <v>0</v>
      </c>
      <c r="Q127" s="15">
        <v>-13</v>
      </c>
    </row>
    <row r="128" spans="1:17" ht="12.75">
      <c r="A128" s="4" t="s">
        <v>24</v>
      </c>
      <c r="B128" s="19" t="s">
        <v>50</v>
      </c>
      <c r="C128" s="15">
        <v>52</v>
      </c>
      <c r="D128" s="6">
        <v>67</v>
      </c>
      <c r="E128" s="6">
        <v>6</v>
      </c>
      <c r="F128" s="6">
        <v>4</v>
      </c>
      <c r="G128" s="6">
        <v>18</v>
      </c>
      <c r="H128" s="6">
        <v>8</v>
      </c>
      <c r="I128" s="6">
        <v>8</v>
      </c>
      <c r="J128" s="6">
        <v>8</v>
      </c>
      <c r="K128" s="6">
        <v>55</v>
      </c>
      <c r="L128" s="6">
        <v>11</v>
      </c>
      <c r="M128" s="6">
        <v>23</v>
      </c>
      <c r="N128" s="6">
        <v>34</v>
      </c>
      <c r="O128" s="7">
        <v>0.6181818181818182</v>
      </c>
      <c r="P128" s="6">
        <v>0</v>
      </c>
      <c r="Q128" s="15">
        <v>-18</v>
      </c>
    </row>
    <row r="129" spans="1:17" ht="12.75">
      <c r="A129" s="4" t="s">
        <v>25</v>
      </c>
      <c r="B129" s="19" t="s">
        <v>49</v>
      </c>
      <c r="C129" s="15">
        <v>49</v>
      </c>
      <c r="D129" s="6">
        <v>70</v>
      </c>
      <c r="E129" s="6">
        <v>4</v>
      </c>
      <c r="F129" s="6">
        <v>4</v>
      </c>
      <c r="G129" s="6">
        <v>16</v>
      </c>
      <c r="H129" s="6">
        <v>11</v>
      </c>
      <c r="I129" s="6">
        <v>11</v>
      </c>
      <c r="J129" s="6">
        <v>3</v>
      </c>
      <c r="K129" s="6">
        <v>61</v>
      </c>
      <c r="L129" s="6">
        <v>14</v>
      </c>
      <c r="M129" s="6">
        <v>27</v>
      </c>
      <c r="N129" s="6">
        <v>41</v>
      </c>
      <c r="O129" s="7">
        <v>0.6721311475409836</v>
      </c>
      <c r="P129" s="6">
        <v>0</v>
      </c>
      <c r="Q129" s="15">
        <v>-21</v>
      </c>
    </row>
    <row r="130" spans="1:17" ht="12.75">
      <c r="A130" s="4" t="s">
        <v>26</v>
      </c>
      <c r="B130" s="19" t="s">
        <v>47</v>
      </c>
      <c r="C130" s="15">
        <v>43</v>
      </c>
      <c r="D130" s="26">
        <v>65</v>
      </c>
      <c r="E130" s="26">
        <v>5</v>
      </c>
      <c r="F130" s="26">
        <v>4</v>
      </c>
      <c r="G130" s="26">
        <v>20</v>
      </c>
      <c r="H130" s="26">
        <v>4</v>
      </c>
      <c r="I130" s="26">
        <v>9</v>
      </c>
      <c r="J130" s="26">
        <v>1</v>
      </c>
      <c r="K130" s="26">
        <v>57</v>
      </c>
      <c r="L130" s="26">
        <v>12</v>
      </c>
      <c r="M130" s="26">
        <v>21</v>
      </c>
      <c r="N130" s="6">
        <v>33</v>
      </c>
      <c r="O130" s="7">
        <v>0.5789473684210527</v>
      </c>
      <c r="P130" s="6">
        <v>0</v>
      </c>
      <c r="Q130" s="15">
        <v>-27</v>
      </c>
    </row>
    <row r="131" spans="1:17" ht="12.75">
      <c r="A131" s="4" t="s">
        <v>27</v>
      </c>
      <c r="B131" s="19" t="s">
        <v>53</v>
      </c>
      <c r="C131" s="15">
        <v>42</v>
      </c>
      <c r="D131" s="6">
        <v>64</v>
      </c>
      <c r="E131" s="6">
        <v>12</v>
      </c>
      <c r="F131" s="6">
        <v>0</v>
      </c>
      <c r="G131" s="6">
        <v>16</v>
      </c>
      <c r="H131" s="6">
        <v>5</v>
      </c>
      <c r="I131" s="6">
        <v>9</v>
      </c>
      <c r="J131" s="6">
        <v>0</v>
      </c>
      <c r="K131" s="6">
        <v>59</v>
      </c>
      <c r="L131" s="6">
        <v>10</v>
      </c>
      <c r="M131" s="6">
        <v>20</v>
      </c>
      <c r="N131" s="6">
        <v>30</v>
      </c>
      <c r="O131" s="7">
        <v>0.5084745762711864</v>
      </c>
      <c r="P131" s="6">
        <v>0</v>
      </c>
      <c r="Q131" s="15">
        <v>-28</v>
      </c>
    </row>
    <row r="132" spans="1:17" ht="12.75">
      <c r="A132" s="4" t="s">
        <v>28</v>
      </c>
      <c r="B132" s="19" t="s">
        <v>48</v>
      </c>
      <c r="C132" s="15">
        <v>35</v>
      </c>
      <c r="D132" s="6">
        <v>67</v>
      </c>
      <c r="E132" s="6">
        <v>-6</v>
      </c>
      <c r="F132" s="6">
        <v>4</v>
      </c>
      <c r="G132" s="6">
        <v>21</v>
      </c>
      <c r="H132" s="6">
        <v>9</v>
      </c>
      <c r="I132" s="6">
        <v>6</v>
      </c>
      <c r="J132" s="6">
        <v>1</v>
      </c>
      <c r="K132" s="6">
        <v>60</v>
      </c>
      <c r="L132" s="6">
        <v>16</v>
      </c>
      <c r="M132" s="6">
        <v>21</v>
      </c>
      <c r="N132" s="6">
        <v>37</v>
      </c>
      <c r="O132" s="7">
        <v>0.6166666666666667</v>
      </c>
      <c r="P132" s="6">
        <v>0</v>
      </c>
      <c r="Q132" s="15">
        <v>-35</v>
      </c>
    </row>
    <row r="133" spans="5:8" ht="13.5" thickBot="1">
      <c r="E133" s="61"/>
      <c r="F133" s="62"/>
      <c r="G133" s="64"/>
      <c r="H133" s="63"/>
    </row>
    <row r="134" spans="1:17" ht="27.75">
      <c r="A134" s="118" t="s">
        <v>139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20"/>
    </row>
    <row r="135" spans="1:17" ht="12.75">
      <c r="A135" s="3"/>
      <c r="B135" s="3"/>
      <c r="C135" s="3"/>
      <c r="D135" s="3"/>
      <c r="E135" s="122" t="s">
        <v>1</v>
      </c>
      <c r="F135" s="122"/>
      <c r="G135" s="122"/>
      <c r="H135" s="122"/>
      <c r="I135" s="122"/>
      <c r="J135" s="122"/>
      <c r="K135" s="14"/>
      <c r="L135" s="1"/>
      <c r="M135" s="1"/>
      <c r="N135" s="1"/>
      <c r="O135" s="1"/>
      <c r="P135" s="1"/>
      <c r="Q135" s="1"/>
    </row>
    <row r="136" spans="1:17" ht="65.25" thickBot="1">
      <c r="A136" s="33" t="s">
        <v>2</v>
      </c>
      <c r="B136" s="33" t="s">
        <v>3</v>
      </c>
      <c r="C136" s="34" t="s">
        <v>1</v>
      </c>
      <c r="D136" s="35" t="s">
        <v>4</v>
      </c>
      <c r="E136" s="36" t="s">
        <v>5</v>
      </c>
      <c r="F136" s="36" t="s">
        <v>6</v>
      </c>
      <c r="G136" s="36" t="s">
        <v>7</v>
      </c>
      <c r="H136" s="36" t="s">
        <v>8</v>
      </c>
      <c r="I136" s="36" t="s">
        <v>9</v>
      </c>
      <c r="J136" s="36" t="s">
        <v>10</v>
      </c>
      <c r="K136" s="37" t="s">
        <v>11</v>
      </c>
      <c r="L136" s="37" t="s">
        <v>12</v>
      </c>
      <c r="M136" s="37" t="s">
        <v>13</v>
      </c>
      <c r="N136" s="37" t="s">
        <v>14</v>
      </c>
      <c r="O136" s="38" t="s">
        <v>15</v>
      </c>
      <c r="P136" s="38" t="s">
        <v>16</v>
      </c>
      <c r="Q136" s="39" t="s">
        <v>17</v>
      </c>
    </row>
    <row r="137" spans="1:17" ht="12.75">
      <c r="A137" s="23" t="s">
        <v>18</v>
      </c>
      <c r="B137" s="24" t="s">
        <v>50</v>
      </c>
      <c r="C137" s="31">
        <v>76</v>
      </c>
      <c r="D137" s="26">
        <v>69</v>
      </c>
      <c r="E137" s="26">
        <v>9</v>
      </c>
      <c r="F137" s="26">
        <v>12</v>
      </c>
      <c r="G137" s="26">
        <v>24</v>
      </c>
      <c r="H137" s="26">
        <v>11</v>
      </c>
      <c r="I137" s="26">
        <v>8</v>
      </c>
      <c r="J137" s="26">
        <v>12</v>
      </c>
      <c r="K137" s="26">
        <v>56</v>
      </c>
      <c r="L137" s="26">
        <v>18</v>
      </c>
      <c r="M137" s="26">
        <v>25</v>
      </c>
      <c r="N137" s="26">
        <v>43</v>
      </c>
      <c r="O137" s="27">
        <v>0.7678571428571429</v>
      </c>
      <c r="P137" s="26">
        <v>0</v>
      </c>
      <c r="Q137" s="32" t="s">
        <v>19</v>
      </c>
    </row>
    <row r="138" spans="1:17" ht="12.75">
      <c r="A138" s="4" t="s">
        <v>20</v>
      </c>
      <c r="B138" s="19" t="s">
        <v>49</v>
      </c>
      <c r="C138" s="15">
        <v>72</v>
      </c>
      <c r="D138" s="6">
        <v>72</v>
      </c>
      <c r="E138" s="6">
        <v>17</v>
      </c>
      <c r="F138" s="6">
        <v>10</v>
      </c>
      <c r="G138" s="6">
        <v>19</v>
      </c>
      <c r="H138" s="6">
        <v>11</v>
      </c>
      <c r="I138" s="6">
        <v>13</v>
      </c>
      <c r="J138" s="6">
        <v>2</v>
      </c>
      <c r="K138" s="6">
        <v>61</v>
      </c>
      <c r="L138" s="6">
        <v>19</v>
      </c>
      <c r="M138" s="6">
        <v>26</v>
      </c>
      <c r="N138" s="6">
        <v>45</v>
      </c>
      <c r="O138" s="7">
        <v>0.7377049180327869</v>
      </c>
      <c r="P138" s="6">
        <v>0</v>
      </c>
      <c r="Q138" s="15">
        <v>-4</v>
      </c>
    </row>
    <row r="139" spans="1:17" ht="12.75">
      <c r="A139" s="4" t="s">
        <v>21</v>
      </c>
      <c r="B139" s="19" t="s">
        <v>52</v>
      </c>
      <c r="C139" s="15">
        <v>64</v>
      </c>
      <c r="D139" s="6">
        <v>72</v>
      </c>
      <c r="E139" s="6">
        <v>-1</v>
      </c>
      <c r="F139" s="6">
        <v>10</v>
      </c>
      <c r="G139" s="6">
        <v>27</v>
      </c>
      <c r="H139" s="6">
        <v>13</v>
      </c>
      <c r="I139" s="6">
        <v>11</v>
      </c>
      <c r="J139" s="6">
        <v>4</v>
      </c>
      <c r="K139" s="6">
        <v>64</v>
      </c>
      <c r="L139" s="6">
        <v>15</v>
      </c>
      <c r="M139" s="6">
        <v>40</v>
      </c>
      <c r="N139" s="6">
        <v>55</v>
      </c>
      <c r="O139" s="7">
        <v>0.859375</v>
      </c>
      <c r="P139" s="6">
        <v>0</v>
      </c>
      <c r="Q139" s="15">
        <v>-12</v>
      </c>
    </row>
    <row r="140" spans="1:17" ht="12.75">
      <c r="A140" s="4" t="s">
        <v>22</v>
      </c>
      <c r="B140" s="19" t="s">
        <v>72</v>
      </c>
      <c r="C140" s="15">
        <v>60</v>
      </c>
      <c r="D140" s="6">
        <v>69</v>
      </c>
      <c r="E140" s="6">
        <v>16</v>
      </c>
      <c r="F140" s="6">
        <v>7</v>
      </c>
      <c r="G140" s="6">
        <v>13</v>
      </c>
      <c r="H140" s="6">
        <v>18</v>
      </c>
      <c r="I140" s="6">
        <v>5</v>
      </c>
      <c r="J140" s="6">
        <v>1</v>
      </c>
      <c r="K140" s="6">
        <v>60</v>
      </c>
      <c r="L140" s="6">
        <v>21</v>
      </c>
      <c r="M140" s="6">
        <v>16</v>
      </c>
      <c r="N140" s="6">
        <v>37</v>
      </c>
      <c r="O140" s="7">
        <v>0.6166666666666667</v>
      </c>
      <c r="P140" s="6">
        <v>0</v>
      </c>
      <c r="Q140" s="15">
        <v>-16</v>
      </c>
    </row>
    <row r="141" spans="1:17" ht="12.75">
      <c r="A141" s="4" t="s">
        <v>23</v>
      </c>
      <c r="B141" s="19" t="s">
        <v>53</v>
      </c>
      <c r="C141" s="15">
        <v>60</v>
      </c>
      <c r="D141" s="6">
        <v>76</v>
      </c>
      <c r="E141" s="6">
        <v>9</v>
      </c>
      <c r="F141" s="6">
        <v>3</v>
      </c>
      <c r="G141" s="6">
        <v>25</v>
      </c>
      <c r="H141" s="6">
        <v>12</v>
      </c>
      <c r="I141" s="6">
        <v>10</v>
      </c>
      <c r="J141" s="6">
        <v>1</v>
      </c>
      <c r="K141" s="6">
        <v>69</v>
      </c>
      <c r="L141" s="6">
        <v>18</v>
      </c>
      <c r="M141" s="6">
        <v>30</v>
      </c>
      <c r="N141" s="6">
        <v>48</v>
      </c>
      <c r="O141" s="7">
        <v>0.6956521739130435</v>
      </c>
      <c r="P141" s="6">
        <v>0</v>
      </c>
      <c r="Q141" s="15">
        <v>-16</v>
      </c>
    </row>
    <row r="142" spans="1:17" ht="12.75">
      <c r="A142" s="4" t="s">
        <v>24</v>
      </c>
      <c r="B142" s="19" t="s">
        <v>32</v>
      </c>
      <c r="C142" s="15">
        <v>58</v>
      </c>
      <c r="D142" s="6">
        <v>70</v>
      </c>
      <c r="E142" s="6">
        <v>6</v>
      </c>
      <c r="F142" s="6">
        <v>4</v>
      </c>
      <c r="G142" s="6">
        <v>22</v>
      </c>
      <c r="H142" s="6">
        <v>8</v>
      </c>
      <c r="I142" s="6">
        <v>15</v>
      </c>
      <c r="J142" s="6">
        <v>3</v>
      </c>
      <c r="K142" s="6">
        <v>62</v>
      </c>
      <c r="L142" s="6">
        <v>18</v>
      </c>
      <c r="M142" s="6">
        <v>30</v>
      </c>
      <c r="N142" s="6">
        <v>48</v>
      </c>
      <c r="O142" s="7">
        <v>0.7741935483870968</v>
      </c>
      <c r="P142" s="6">
        <v>0</v>
      </c>
      <c r="Q142" s="15">
        <v>-18</v>
      </c>
    </row>
    <row r="143" spans="1:17" ht="12.75">
      <c r="A143" s="4" t="s">
        <v>25</v>
      </c>
      <c r="B143" s="19" t="s">
        <v>47</v>
      </c>
      <c r="C143" s="15">
        <v>57</v>
      </c>
      <c r="D143" s="6">
        <v>73</v>
      </c>
      <c r="E143" s="6">
        <v>7</v>
      </c>
      <c r="F143" s="6">
        <v>12</v>
      </c>
      <c r="G143" s="6">
        <v>18</v>
      </c>
      <c r="H143" s="6">
        <v>8</v>
      </c>
      <c r="I143" s="6">
        <v>9</v>
      </c>
      <c r="J143" s="6">
        <v>3</v>
      </c>
      <c r="K143" s="6">
        <v>63</v>
      </c>
      <c r="L143" s="6">
        <v>10</v>
      </c>
      <c r="M143" s="6">
        <v>26</v>
      </c>
      <c r="N143" s="6">
        <v>36</v>
      </c>
      <c r="O143" s="7">
        <v>0.5714285714285714</v>
      </c>
      <c r="P143" s="6">
        <v>0</v>
      </c>
      <c r="Q143" s="15">
        <v>-19</v>
      </c>
    </row>
    <row r="144" spans="1:17" ht="12.75">
      <c r="A144" s="4" t="s">
        <v>26</v>
      </c>
      <c r="B144" s="19" t="s">
        <v>48</v>
      </c>
      <c r="C144" s="15">
        <v>51</v>
      </c>
      <c r="D144" s="26">
        <v>75</v>
      </c>
      <c r="E144" s="26">
        <v>5</v>
      </c>
      <c r="F144" s="26">
        <v>10</v>
      </c>
      <c r="G144" s="26">
        <v>14</v>
      </c>
      <c r="H144" s="26">
        <v>14</v>
      </c>
      <c r="I144" s="26">
        <v>5</v>
      </c>
      <c r="J144" s="26">
        <v>3</v>
      </c>
      <c r="K144" s="26">
        <v>66</v>
      </c>
      <c r="L144" s="26">
        <v>14</v>
      </c>
      <c r="M144" s="26">
        <v>22</v>
      </c>
      <c r="N144" s="6">
        <v>36</v>
      </c>
      <c r="O144" s="7">
        <v>0.5454545454545454</v>
      </c>
      <c r="P144" s="6">
        <v>0</v>
      </c>
      <c r="Q144" s="15">
        <v>-25</v>
      </c>
    </row>
    <row r="145" spans="1:17" ht="12.75">
      <c r="A145" s="4" t="s">
        <v>27</v>
      </c>
      <c r="B145" s="19" t="s">
        <v>46</v>
      </c>
      <c r="C145" s="15">
        <v>43</v>
      </c>
      <c r="D145" s="6">
        <v>70</v>
      </c>
      <c r="E145" s="6">
        <v>7</v>
      </c>
      <c r="F145" s="6">
        <v>4</v>
      </c>
      <c r="G145" s="6">
        <v>13</v>
      </c>
      <c r="H145" s="6">
        <v>11</v>
      </c>
      <c r="I145" s="6">
        <v>7</v>
      </c>
      <c r="J145" s="6">
        <v>1</v>
      </c>
      <c r="K145" s="6">
        <v>63</v>
      </c>
      <c r="L145" s="6">
        <v>12</v>
      </c>
      <c r="M145" s="6">
        <v>20</v>
      </c>
      <c r="N145" s="6">
        <v>32</v>
      </c>
      <c r="O145" s="7">
        <v>0.5079365079365079</v>
      </c>
      <c r="P145" s="6">
        <v>0</v>
      </c>
      <c r="Q145" s="15">
        <v>-33</v>
      </c>
    </row>
    <row r="146" spans="1:17" ht="12.75">
      <c r="A146" s="4" t="s">
        <v>28</v>
      </c>
      <c r="B146" s="19" t="s">
        <v>51</v>
      </c>
      <c r="C146" s="15">
        <v>38</v>
      </c>
      <c r="D146" s="6">
        <v>70</v>
      </c>
      <c r="E146" s="6">
        <v>-4</v>
      </c>
      <c r="F146" s="6">
        <v>6</v>
      </c>
      <c r="G146" s="6">
        <v>11</v>
      </c>
      <c r="H146" s="6">
        <v>16</v>
      </c>
      <c r="I146" s="6">
        <v>7</v>
      </c>
      <c r="J146" s="6">
        <v>2</v>
      </c>
      <c r="K146" s="6">
        <v>59</v>
      </c>
      <c r="L146" s="6">
        <v>12</v>
      </c>
      <c r="M146" s="6">
        <v>24</v>
      </c>
      <c r="N146" s="6">
        <v>36</v>
      </c>
      <c r="O146" s="7">
        <v>0.6101694915254238</v>
      </c>
      <c r="P146" s="6">
        <v>0</v>
      </c>
      <c r="Q146" s="15">
        <v>-38</v>
      </c>
    </row>
    <row r="147" spans="5:8" ht="13.5" thickBot="1">
      <c r="E147" s="61"/>
      <c r="F147" s="62"/>
      <c r="G147" s="64"/>
      <c r="H147" s="63"/>
    </row>
    <row r="148" spans="1:17" ht="27.75">
      <c r="A148" s="118" t="s">
        <v>137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20"/>
    </row>
    <row r="149" spans="1:17" ht="12.75">
      <c r="A149" s="3"/>
      <c r="B149" s="3"/>
      <c r="C149" s="3"/>
      <c r="D149" s="3"/>
      <c r="E149" s="122" t="s">
        <v>1</v>
      </c>
      <c r="F149" s="122"/>
      <c r="G149" s="122"/>
      <c r="H149" s="122"/>
      <c r="I149" s="122"/>
      <c r="J149" s="122"/>
      <c r="K149" s="14"/>
      <c r="L149" s="1"/>
      <c r="M149" s="1"/>
      <c r="N149" s="1"/>
      <c r="O149" s="1"/>
      <c r="P149" s="1"/>
      <c r="Q149" s="1"/>
    </row>
    <row r="150" spans="1:17" ht="65.25" thickBot="1">
      <c r="A150" s="33" t="s">
        <v>2</v>
      </c>
      <c r="B150" s="33" t="s">
        <v>3</v>
      </c>
      <c r="C150" s="34" t="s">
        <v>1</v>
      </c>
      <c r="D150" s="35" t="s">
        <v>4</v>
      </c>
      <c r="E150" s="36" t="s">
        <v>5</v>
      </c>
      <c r="F150" s="36" t="s">
        <v>6</v>
      </c>
      <c r="G150" s="36" t="s">
        <v>7</v>
      </c>
      <c r="H150" s="36" t="s">
        <v>8</v>
      </c>
      <c r="I150" s="36" t="s">
        <v>9</v>
      </c>
      <c r="J150" s="36" t="s">
        <v>10</v>
      </c>
      <c r="K150" s="37" t="s">
        <v>11</v>
      </c>
      <c r="L150" s="37" t="s">
        <v>12</v>
      </c>
      <c r="M150" s="37" t="s">
        <v>13</v>
      </c>
      <c r="N150" s="37" t="s">
        <v>14</v>
      </c>
      <c r="O150" s="38" t="s">
        <v>15</v>
      </c>
      <c r="P150" s="38" t="s">
        <v>16</v>
      </c>
      <c r="Q150" s="39" t="s">
        <v>17</v>
      </c>
    </row>
    <row r="151" spans="1:17" ht="12.75">
      <c r="A151" s="23" t="s">
        <v>18</v>
      </c>
      <c r="B151" s="24" t="s">
        <v>50</v>
      </c>
      <c r="C151" s="31">
        <v>76</v>
      </c>
      <c r="D151" s="26">
        <v>85</v>
      </c>
      <c r="E151" s="26">
        <v>10</v>
      </c>
      <c r="F151" s="26">
        <v>2</v>
      </c>
      <c r="G151" s="26">
        <v>23</v>
      </c>
      <c r="H151" s="26">
        <v>13</v>
      </c>
      <c r="I151" s="26">
        <v>14</v>
      </c>
      <c r="J151" s="26">
        <v>14</v>
      </c>
      <c r="K151" s="26">
        <v>70</v>
      </c>
      <c r="L151" s="26">
        <v>13</v>
      </c>
      <c r="M151" s="26">
        <v>37</v>
      </c>
      <c r="N151" s="26">
        <v>50</v>
      </c>
      <c r="O151" s="27">
        <v>0.7142857142857143</v>
      </c>
      <c r="P151" s="26">
        <v>0</v>
      </c>
      <c r="Q151" s="32" t="s">
        <v>19</v>
      </c>
    </row>
    <row r="152" spans="1:17" ht="12.75">
      <c r="A152" s="4" t="s">
        <v>20</v>
      </c>
      <c r="B152" s="19" t="s">
        <v>52</v>
      </c>
      <c r="C152" s="15">
        <v>73</v>
      </c>
      <c r="D152" s="6">
        <v>63</v>
      </c>
      <c r="E152" s="6">
        <v>17</v>
      </c>
      <c r="F152" s="6">
        <v>14</v>
      </c>
      <c r="G152" s="6">
        <v>18</v>
      </c>
      <c r="H152" s="6">
        <v>14</v>
      </c>
      <c r="I152" s="6">
        <v>9</v>
      </c>
      <c r="J152" s="6">
        <v>1</v>
      </c>
      <c r="K152" s="6">
        <v>53</v>
      </c>
      <c r="L152" s="6">
        <v>12</v>
      </c>
      <c r="M152" s="6">
        <v>30</v>
      </c>
      <c r="N152" s="6">
        <v>45</v>
      </c>
      <c r="O152" s="7">
        <v>0.8490566037735849</v>
      </c>
      <c r="P152" s="6">
        <v>0</v>
      </c>
      <c r="Q152" s="15">
        <v>0</v>
      </c>
    </row>
    <row r="153" spans="1:17" ht="12.75">
      <c r="A153" s="4" t="s">
        <v>21</v>
      </c>
      <c r="B153" s="19" t="s">
        <v>49</v>
      </c>
      <c r="C153" s="15">
        <v>66</v>
      </c>
      <c r="D153" s="6">
        <v>73</v>
      </c>
      <c r="E153" s="6">
        <v>5</v>
      </c>
      <c r="F153" s="6">
        <v>6</v>
      </c>
      <c r="G153" s="6">
        <v>24</v>
      </c>
      <c r="H153" s="6">
        <v>14</v>
      </c>
      <c r="I153" s="6">
        <v>13</v>
      </c>
      <c r="J153" s="6">
        <v>4</v>
      </c>
      <c r="K153" s="6">
        <v>66</v>
      </c>
      <c r="L153" s="6">
        <v>25</v>
      </c>
      <c r="M153" s="6">
        <v>30</v>
      </c>
      <c r="N153" s="6">
        <v>55</v>
      </c>
      <c r="O153" s="7">
        <v>0.8333333333333334</v>
      </c>
      <c r="P153" s="6">
        <v>0</v>
      </c>
      <c r="Q153" s="15">
        <v>-10</v>
      </c>
    </row>
    <row r="154" spans="1:17" ht="12.75">
      <c r="A154" s="4" t="s">
        <v>22</v>
      </c>
      <c r="B154" s="19" t="s">
        <v>46</v>
      </c>
      <c r="C154" s="15">
        <v>61</v>
      </c>
      <c r="D154" s="6">
        <v>72</v>
      </c>
      <c r="E154" s="6">
        <v>10</v>
      </c>
      <c r="F154" s="6">
        <v>7</v>
      </c>
      <c r="G154" s="6">
        <v>22</v>
      </c>
      <c r="H154" s="6">
        <v>12</v>
      </c>
      <c r="I154" s="6">
        <v>8</v>
      </c>
      <c r="J154" s="6">
        <v>2</v>
      </c>
      <c r="K154" s="6">
        <v>64</v>
      </c>
      <c r="L154" s="6">
        <v>19</v>
      </c>
      <c r="M154" s="6">
        <v>25</v>
      </c>
      <c r="N154" s="6">
        <v>44</v>
      </c>
      <c r="O154" s="7">
        <v>0.6875</v>
      </c>
      <c r="P154" s="6">
        <v>0</v>
      </c>
      <c r="Q154" s="15">
        <v>-15</v>
      </c>
    </row>
    <row r="155" spans="1:17" ht="12.75">
      <c r="A155" s="4" t="s">
        <v>23</v>
      </c>
      <c r="B155" s="19" t="s">
        <v>32</v>
      </c>
      <c r="C155" s="15">
        <v>61</v>
      </c>
      <c r="D155" s="6">
        <v>72</v>
      </c>
      <c r="E155" s="6">
        <v>8</v>
      </c>
      <c r="F155" s="6">
        <v>9</v>
      </c>
      <c r="G155" s="6">
        <v>12</v>
      </c>
      <c r="H155" s="6">
        <v>13</v>
      </c>
      <c r="I155" s="6">
        <v>13</v>
      </c>
      <c r="J155" s="6">
        <v>6</v>
      </c>
      <c r="K155" s="6">
        <v>63</v>
      </c>
      <c r="L155" s="6">
        <v>11</v>
      </c>
      <c r="M155" s="6">
        <v>33</v>
      </c>
      <c r="N155" s="6">
        <v>44</v>
      </c>
      <c r="O155" s="7">
        <v>0.6984126984126984</v>
      </c>
      <c r="P155" s="6">
        <v>0</v>
      </c>
      <c r="Q155" s="15">
        <v>-15</v>
      </c>
    </row>
    <row r="156" spans="1:17" ht="12.75">
      <c r="A156" s="4" t="s">
        <v>24</v>
      </c>
      <c r="B156" s="19" t="s">
        <v>72</v>
      </c>
      <c r="C156" s="15">
        <v>54</v>
      </c>
      <c r="D156" s="6">
        <v>75</v>
      </c>
      <c r="E156" s="6">
        <v>13</v>
      </c>
      <c r="F156" s="6">
        <v>4</v>
      </c>
      <c r="G156" s="6">
        <v>19</v>
      </c>
      <c r="H156" s="6">
        <v>6</v>
      </c>
      <c r="I156" s="6">
        <v>8</v>
      </c>
      <c r="J156" s="6">
        <v>4</v>
      </c>
      <c r="K156" s="6">
        <v>67</v>
      </c>
      <c r="L156" s="6">
        <v>13</v>
      </c>
      <c r="M156" s="6">
        <v>24</v>
      </c>
      <c r="N156" s="6">
        <v>37</v>
      </c>
      <c r="O156" s="7">
        <v>0.5522388059701493</v>
      </c>
      <c r="P156" s="6">
        <v>0</v>
      </c>
      <c r="Q156" s="15">
        <v>-22</v>
      </c>
    </row>
    <row r="157" spans="1:17" ht="12.75">
      <c r="A157" s="4" t="s">
        <v>25</v>
      </c>
      <c r="B157" s="19" t="s">
        <v>53</v>
      </c>
      <c r="C157" s="15">
        <v>46</v>
      </c>
      <c r="D157" s="6">
        <v>75</v>
      </c>
      <c r="E157" s="6">
        <v>-1</v>
      </c>
      <c r="F157" s="6">
        <v>12</v>
      </c>
      <c r="G157" s="6">
        <v>15</v>
      </c>
      <c r="H157" s="6">
        <v>9</v>
      </c>
      <c r="I157" s="6">
        <v>11</v>
      </c>
      <c r="J157" s="6">
        <v>0</v>
      </c>
      <c r="K157" s="6">
        <v>66</v>
      </c>
      <c r="L157" s="6">
        <v>13</v>
      </c>
      <c r="M157" s="6">
        <v>22</v>
      </c>
      <c r="N157" s="6">
        <v>35</v>
      </c>
      <c r="O157" s="7">
        <v>0.5303030303030303</v>
      </c>
      <c r="P157" s="6">
        <v>0</v>
      </c>
      <c r="Q157" s="15">
        <v>-30</v>
      </c>
    </row>
    <row r="158" spans="1:17" ht="12.75">
      <c r="A158" s="4" t="s">
        <v>26</v>
      </c>
      <c r="B158" s="19" t="s">
        <v>48</v>
      </c>
      <c r="C158" s="15">
        <v>45</v>
      </c>
      <c r="D158" s="26">
        <v>74</v>
      </c>
      <c r="E158" s="26">
        <v>7</v>
      </c>
      <c r="F158" s="26">
        <v>5</v>
      </c>
      <c r="G158" s="26">
        <v>14</v>
      </c>
      <c r="H158" s="26">
        <v>8</v>
      </c>
      <c r="I158" s="26">
        <v>8</v>
      </c>
      <c r="J158" s="26">
        <v>3</v>
      </c>
      <c r="K158" s="26">
        <v>66</v>
      </c>
      <c r="L158" s="26">
        <v>15</v>
      </c>
      <c r="M158" s="26">
        <v>18</v>
      </c>
      <c r="N158" s="6">
        <v>33</v>
      </c>
      <c r="O158" s="7">
        <v>0.5</v>
      </c>
      <c r="P158" s="6">
        <v>0</v>
      </c>
      <c r="Q158" s="15">
        <v>-31</v>
      </c>
    </row>
    <row r="159" spans="1:17" ht="12.75">
      <c r="A159" s="4" t="s">
        <v>27</v>
      </c>
      <c r="B159" s="19" t="s">
        <v>47</v>
      </c>
      <c r="C159" s="15">
        <v>41</v>
      </c>
      <c r="D159" s="6">
        <v>66</v>
      </c>
      <c r="E159" s="6">
        <v>2</v>
      </c>
      <c r="F159" s="6">
        <v>4</v>
      </c>
      <c r="G159" s="6">
        <v>15</v>
      </c>
      <c r="H159" s="6">
        <v>11</v>
      </c>
      <c r="I159" s="6">
        <v>6</v>
      </c>
      <c r="J159" s="6">
        <v>3</v>
      </c>
      <c r="K159" s="6">
        <v>59</v>
      </c>
      <c r="L159" s="6">
        <v>11</v>
      </c>
      <c r="M159" s="6">
        <v>22</v>
      </c>
      <c r="N159" s="6">
        <v>33</v>
      </c>
      <c r="O159" s="7">
        <v>0.559322033898305</v>
      </c>
      <c r="P159" s="6">
        <v>0</v>
      </c>
      <c r="Q159" s="15">
        <v>-35</v>
      </c>
    </row>
    <row r="160" spans="1:17" ht="12.75">
      <c r="A160" s="4" t="s">
        <v>28</v>
      </c>
      <c r="B160" s="19" t="s">
        <v>51</v>
      </c>
      <c r="C160" s="15">
        <v>28</v>
      </c>
      <c r="D160" s="6">
        <v>65</v>
      </c>
      <c r="E160" s="6">
        <v>-10</v>
      </c>
      <c r="F160" s="6">
        <v>4</v>
      </c>
      <c r="G160" s="6">
        <v>23</v>
      </c>
      <c r="H160" s="6">
        <v>6</v>
      </c>
      <c r="I160" s="6">
        <v>4</v>
      </c>
      <c r="J160" s="6">
        <v>1</v>
      </c>
      <c r="K160" s="6">
        <v>57</v>
      </c>
      <c r="L160" s="6">
        <v>11</v>
      </c>
      <c r="M160" s="6">
        <v>23</v>
      </c>
      <c r="N160" s="6">
        <v>34</v>
      </c>
      <c r="O160" s="7">
        <v>0.5964912280701754</v>
      </c>
      <c r="P160" s="6">
        <v>0</v>
      </c>
      <c r="Q160" s="15">
        <v>-48</v>
      </c>
    </row>
    <row r="161" spans="5:8" ht="13.5" thickBot="1">
      <c r="E161" s="61"/>
      <c r="F161" s="62"/>
      <c r="G161" s="64"/>
      <c r="H161" s="63"/>
    </row>
    <row r="162" spans="1:17" ht="27.75">
      <c r="A162" s="118" t="s">
        <v>136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20"/>
    </row>
    <row r="163" spans="1:17" ht="12.75">
      <c r="A163" s="3"/>
      <c r="B163" s="3"/>
      <c r="C163" s="3"/>
      <c r="D163" s="3"/>
      <c r="E163" s="161" t="s">
        <v>1</v>
      </c>
      <c r="F163" s="162"/>
      <c r="G163" s="162"/>
      <c r="H163" s="162"/>
      <c r="I163" s="162"/>
      <c r="J163" s="163"/>
      <c r="K163" s="14"/>
      <c r="L163" s="1"/>
      <c r="M163" s="1"/>
      <c r="N163" s="1"/>
      <c r="O163" s="1"/>
      <c r="P163" s="1"/>
      <c r="Q163" s="1"/>
    </row>
    <row r="164" spans="1:17" ht="65.25" thickBot="1">
      <c r="A164" s="33" t="s">
        <v>2</v>
      </c>
      <c r="B164" s="33" t="s">
        <v>3</v>
      </c>
      <c r="C164" s="34" t="s">
        <v>1</v>
      </c>
      <c r="D164" s="35" t="s">
        <v>4</v>
      </c>
      <c r="E164" s="36" t="s">
        <v>5</v>
      </c>
      <c r="F164" s="36" t="s">
        <v>6</v>
      </c>
      <c r="G164" s="36" t="s">
        <v>7</v>
      </c>
      <c r="H164" s="36" t="s">
        <v>8</v>
      </c>
      <c r="I164" s="36" t="s">
        <v>9</v>
      </c>
      <c r="J164" s="36" t="s">
        <v>10</v>
      </c>
      <c r="K164" s="37" t="s">
        <v>11</v>
      </c>
      <c r="L164" s="37" t="s">
        <v>12</v>
      </c>
      <c r="M164" s="37" t="s">
        <v>13</v>
      </c>
      <c r="N164" s="37" t="s">
        <v>14</v>
      </c>
      <c r="O164" s="38" t="s">
        <v>15</v>
      </c>
      <c r="P164" s="38" t="s">
        <v>16</v>
      </c>
      <c r="Q164" s="39" t="s">
        <v>17</v>
      </c>
    </row>
    <row r="165" spans="1:17" ht="12.75">
      <c r="A165" s="23" t="s">
        <v>18</v>
      </c>
      <c r="B165" s="24" t="s">
        <v>32</v>
      </c>
      <c r="C165" s="31">
        <v>58</v>
      </c>
      <c r="D165" s="26">
        <v>59</v>
      </c>
      <c r="E165" s="26">
        <v>7</v>
      </c>
      <c r="F165" s="26">
        <v>11</v>
      </c>
      <c r="G165" s="26">
        <v>19</v>
      </c>
      <c r="H165" s="26">
        <v>9</v>
      </c>
      <c r="I165" s="26">
        <v>8</v>
      </c>
      <c r="J165" s="26">
        <v>4</v>
      </c>
      <c r="K165" s="26">
        <v>53</v>
      </c>
      <c r="L165" s="26">
        <v>10</v>
      </c>
      <c r="M165" s="26">
        <v>30</v>
      </c>
      <c r="N165" s="26">
        <v>40</v>
      </c>
      <c r="O165" s="27">
        <v>0.7547169811320755</v>
      </c>
      <c r="P165" s="26">
        <v>0</v>
      </c>
      <c r="Q165" s="32" t="s">
        <v>19</v>
      </c>
    </row>
    <row r="166" spans="1:17" ht="12.75">
      <c r="A166" s="4" t="s">
        <v>20</v>
      </c>
      <c r="B166" s="19" t="s">
        <v>52</v>
      </c>
      <c r="C166" s="15">
        <v>57</v>
      </c>
      <c r="D166" s="6">
        <v>65</v>
      </c>
      <c r="E166" s="6">
        <v>6</v>
      </c>
      <c r="F166" s="6">
        <v>7</v>
      </c>
      <c r="G166" s="6">
        <v>24</v>
      </c>
      <c r="H166" s="6">
        <v>10</v>
      </c>
      <c r="I166" s="6">
        <v>9</v>
      </c>
      <c r="J166" s="6">
        <v>1</v>
      </c>
      <c r="K166" s="6">
        <v>56</v>
      </c>
      <c r="L166" s="6">
        <v>16</v>
      </c>
      <c r="M166" s="6">
        <v>28</v>
      </c>
      <c r="N166" s="6">
        <v>44</v>
      </c>
      <c r="O166" s="7">
        <v>0.7857142857142857</v>
      </c>
      <c r="P166" s="6">
        <v>0</v>
      </c>
      <c r="Q166" s="15">
        <v>-1</v>
      </c>
    </row>
    <row r="167" spans="1:17" ht="12.75">
      <c r="A167" s="4" t="s">
        <v>21</v>
      </c>
      <c r="B167" s="19" t="s">
        <v>49</v>
      </c>
      <c r="C167" s="15">
        <v>56</v>
      </c>
      <c r="D167" s="6">
        <v>63</v>
      </c>
      <c r="E167" s="6">
        <v>3</v>
      </c>
      <c r="F167" s="6">
        <v>11</v>
      </c>
      <c r="G167" s="6">
        <v>13</v>
      </c>
      <c r="H167" s="6">
        <v>19</v>
      </c>
      <c r="I167" s="6">
        <v>7</v>
      </c>
      <c r="J167" s="6">
        <v>3</v>
      </c>
      <c r="K167" s="6">
        <v>56</v>
      </c>
      <c r="L167" s="6">
        <v>17</v>
      </c>
      <c r="M167" s="6">
        <v>25</v>
      </c>
      <c r="N167" s="6">
        <v>42</v>
      </c>
      <c r="O167" s="7">
        <v>0.75</v>
      </c>
      <c r="P167" s="6">
        <v>0</v>
      </c>
      <c r="Q167" s="15">
        <v>-2</v>
      </c>
    </row>
    <row r="168" spans="1:17" ht="12.75">
      <c r="A168" s="4" t="s">
        <v>22</v>
      </c>
      <c r="B168" s="19" t="s">
        <v>48</v>
      </c>
      <c r="C168" s="15">
        <v>51</v>
      </c>
      <c r="D168" s="6">
        <v>60</v>
      </c>
      <c r="E168" s="6">
        <v>2</v>
      </c>
      <c r="F168" s="6">
        <v>10</v>
      </c>
      <c r="G168" s="6">
        <v>18</v>
      </c>
      <c r="H168" s="6">
        <v>13</v>
      </c>
      <c r="I168" s="6">
        <v>4</v>
      </c>
      <c r="J168" s="6">
        <v>4</v>
      </c>
      <c r="K168" s="6">
        <v>53</v>
      </c>
      <c r="L168" s="6">
        <v>15</v>
      </c>
      <c r="M168" s="6">
        <v>24</v>
      </c>
      <c r="N168" s="6">
        <v>39</v>
      </c>
      <c r="O168" s="7">
        <v>0.7358490566037735</v>
      </c>
      <c r="P168" s="6">
        <v>0</v>
      </c>
      <c r="Q168" s="15">
        <v>-7</v>
      </c>
    </row>
    <row r="169" spans="1:17" ht="12.75">
      <c r="A169" s="4" t="s">
        <v>23</v>
      </c>
      <c r="B169" s="19" t="s">
        <v>51</v>
      </c>
      <c r="C169" s="15">
        <v>50</v>
      </c>
      <c r="D169" s="6">
        <v>70</v>
      </c>
      <c r="E169" s="6">
        <v>3</v>
      </c>
      <c r="F169" s="6">
        <v>11</v>
      </c>
      <c r="G169" s="6">
        <v>17</v>
      </c>
      <c r="H169" s="6">
        <v>9</v>
      </c>
      <c r="I169" s="6">
        <v>7</v>
      </c>
      <c r="J169" s="6">
        <v>3</v>
      </c>
      <c r="K169" s="6">
        <v>60</v>
      </c>
      <c r="L169" s="6">
        <v>13</v>
      </c>
      <c r="M169" s="6">
        <v>23</v>
      </c>
      <c r="N169" s="6">
        <v>36</v>
      </c>
      <c r="O169" s="7">
        <v>0.6</v>
      </c>
      <c r="P169" s="6">
        <v>0</v>
      </c>
      <c r="Q169" s="15">
        <v>-8</v>
      </c>
    </row>
    <row r="170" spans="1:17" ht="12.75">
      <c r="A170" s="4" t="s">
        <v>24</v>
      </c>
      <c r="B170" s="19" t="s">
        <v>53</v>
      </c>
      <c r="C170" s="15">
        <v>49</v>
      </c>
      <c r="D170" s="6">
        <v>58</v>
      </c>
      <c r="E170" s="6">
        <v>6</v>
      </c>
      <c r="F170" s="6">
        <v>5</v>
      </c>
      <c r="G170" s="6">
        <v>17</v>
      </c>
      <c r="H170" s="6">
        <v>11</v>
      </c>
      <c r="I170" s="6">
        <v>10</v>
      </c>
      <c r="J170" s="6">
        <v>0</v>
      </c>
      <c r="K170" s="6">
        <v>52</v>
      </c>
      <c r="L170" s="6">
        <v>11</v>
      </c>
      <c r="M170" s="6">
        <v>27</v>
      </c>
      <c r="N170" s="6">
        <v>38</v>
      </c>
      <c r="O170" s="7">
        <v>0.7307692307692307</v>
      </c>
      <c r="P170" s="6">
        <v>0</v>
      </c>
      <c r="Q170" s="15">
        <v>-9</v>
      </c>
    </row>
    <row r="171" spans="1:17" ht="12.75">
      <c r="A171" s="4" t="s">
        <v>25</v>
      </c>
      <c r="B171" s="19" t="s">
        <v>50</v>
      </c>
      <c r="C171" s="15">
        <v>48</v>
      </c>
      <c r="D171" s="6">
        <v>56</v>
      </c>
      <c r="E171" s="6">
        <v>12</v>
      </c>
      <c r="F171" s="6">
        <v>4</v>
      </c>
      <c r="G171" s="6">
        <v>12</v>
      </c>
      <c r="H171" s="6">
        <v>5</v>
      </c>
      <c r="I171" s="6">
        <v>9</v>
      </c>
      <c r="J171" s="6">
        <v>6</v>
      </c>
      <c r="K171" s="6">
        <v>48</v>
      </c>
      <c r="L171" s="6">
        <v>7</v>
      </c>
      <c r="M171" s="6">
        <v>19</v>
      </c>
      <c r="N171" s="6">
        <v>26</v>
      </c>
      <c r="O171" s="7">
        <v>0.5416666666666666</v>
      </c>
      <c r="P171" s="6">
        <v>0</v>
      </c>
      <c r="Q171" s="15">
        <v>-10</v>
      </c>
    </row>
    <row r="172" spans="1:17" ht="12.75">
      <c r="A172" s="4" t="s">
        <v>26</v>
      </c>
      <c r="B172" s="19" t="s">
        <v>47</v>
      </c>
      <c r="C172" s="15">
        <v>43</v>
      </c>
      <c r="D172" s="26">
        <v>59</v>
      </c>
      <c r="E172" s="26">
        <v>-2</v>
      </c>
      <c r="F172" s="26">
        <v>3</v>
      </c>
      <c r="G172" s="26">
        <v>22</v>
      </c>
      <c r="H172" s="26">
        <v>10</v>
      </c>
      <c r="I172" s="26">
        <v>7</v>
      </c>
      <c r="J172" s="26">
        <v>3</v>
      </c>
      <c r="K172" s="26">
        <v>53</v>
      </c>
      <c r="L172" s="26">
        <v>17</v>
      </c>
      <c r="M172" s="26">
        <v>25</v>
      </c>
      <c r="N172" s="6">
        <v>42</v>
      </c>
      <c r="O172" s="7">
        <v>0.7924528301886793</v>
      </c>
      <c r="P172" s="6">
        <v>0</v>
      </c>
      <c r="Q172" s="15">
        <v>-15</v>
      </c>
    </row>
    <row r="173" spans="1:17" ht="12.75">
      <c r="A173" s="4" t="s">
        <v>27</v>
      </c>
      <c r="B173" s="19" t="s">
        <v>72</v>
      </c>
      <c r="C173" s="15">
        <v>42</v>
      </c>
      <c r="D173" s="6">
        <v>49</v>
      </c>
      <c r="E173" s="6">
        <v>4</v>
      </c>
      <c r="F173" s="6">
        <v>5</v>
      </c>
      <c r="G173" s="6">
        <v>12</v>
      </c>
      <c r="H173" s="6">
        <v>12</v>
      </c>
      <c r="I173" s="6">
        <v>6</v>
      </c>
      <c r="J173" s="6">
        <v>3</v>
      </c>
      <c r="K173" s="6">
        <v>42</v>
      </c>
      <c r="L173" s="6">
        <v>12</v>
      </c>
      <c r="M173" s="6">
        <v>21</v>
      </c>
      <c r="N173" s="6">
        <v>33</v>
      </c>
      <c r="O173" s="7">
        <v>0.7857142857142857</v>
      </c>
      <c r="P173" s="6">
        <v>0</v>
      </c>
      <c r="Q173" s="15">
        <v>-16</v>
      </c>
    </row>
    <row r="174" spans="1:17" ht="12.75">
      <c r="A174" s="4" t="s">
        <v>28</v>
      </c>
      <c r="B174" s="19" t="s">
        <v>46</v>
      </c>
      <c r="C174" s="15">
        <v>37</v>
      </c>
      <c r="D174" s="6">
        <v>58</v>
      </c>
      <c r="E174" s="6">
        <v>8</v>
      </c>
      <c r="F174" s="6">
        <v>5</v>
      </c>
      <c r="G174" s="6">
        <v>15</v>
      </c>
      <c r="H174" s="6">
        <v>5</v>
      </c>
      <c r="I174" s="6">
        <v>3</v>
      </c>
      <c r="J174" s="6">
        <v>1</v>
      </c>
      <c r="K174" s="6">
        <v>51</v>
      </c>
      <c r="L174" s="6">
        <v>4</v>
      </c>
      <c r="M174" s="6">
        <v>20</v>
      </c>
      <c r="N174" s="6">
        <v>24</v>
      </c>
      <c r="O174" s="7">
        <v>0.47058823529411764</v>
      </c>
      <c r="P174" s="6">
        <v>0</v>
      </c>
      <c r="Q174" s="15">
        <v>-21</v>
      </c>
    </row>
    <row r="175" spans="5:8" ht="13.5" thickBot="1">
      <c r="E175" s="61"/>
      <c r="F175" s="62"/>
      <c r="G175" s="64"/>
      <c r="H175" s="63"/>
    </row>
    <row r="176" spans="1:17" ht="27.75">
      <c r="A176" s="118" t="s">
        <v>135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20"/>
    </row>
    <row r="177" spans="1:17" ht="12.75">
      <c r="A177" s="3"/>
      <c r="B177" s="3"/>
      <c r="C177" s="3"/>
      <c r="D177" s="3"/>
      <c r="E177" s="122" t="s">
        <v>1</v>
      </c>
      <c r="F177" s="122"/>
      <c r="G177" s="122"/>
      <c r="H177" s="122"/>
      <c r="I177" s="122"/>
      <c r="J177" s="122"/>
      <c r="K177" s="14"/>
      <c r="L177" s="1"/>
      <c r="M177" s="1"/>
      <c r="N177" s="1"/>
      <c r="O177" s="1"/>
      <c r="P177" s="1"/>
      <c r="Q177" s="1"/>
    </row>
    <row r="178" spans="1:17" ht="65.25" thickBot="1">
      <c r="A178" s="33" t="s">
        <v>2</v>
      </c>
      <c r="B178" s="33" t="s">
        <v>3</v>
      </c>
      <c r="C178" s="34" t="s">
        <v>1</v>
      </c>
      <c r="D178" s="35" t="s">
        <v>4</v>
      </c>
      <c r="E178" s="36" t="s">
        <v>5</v>
      </c>
      <c r="F178" s="36" t="s">
        <v>6</v>
      </c>
      <c r="G178" s="36" t="s">
        <v>7</v>
      </c>
      <c r="H178" s="36" t="s">
        <v>8</v>
      </c>
      <c r="I178" s="36" t="s">
        <v>9</v>
      </c>
      <c r="J178" s="36" t="s">
        <v>10</v>
      </c>
      <c r="K178" s="37" t="s">
        <v>11</v>
      </c>
      <c r="L178" s="37" t="s">
        <v>12</v>
      </c>
      <c r="M178" s="37" t="s">
        <v>13</v>
      </c>
      <c r="N178" s="37" t="s">
        <v>14</v>
      </c>
      <c r="O178" s="38" t="s">
        <v>15</v>
      </c>
      <c r="P178" s="38" t="s">
        <v>16</v>
      </c>
      <c r="Q178" s="39" t="s">
        <v>17</v>
      </c>
    </row>
    <row r="179" spans="1:17" ht="12.75">
      <c r="A179" s="23" t="s">
        <v>18</v>
      </c>
      <c r="B179" s="24" t="s">
        <v>49</v>
      </c>
      <c r="C179" s="31">
        <v>66</v>
      </c>
      <c r="D179" s="26">
        <v>71</v>
      </c>
      <c r="E179" s="26">
        <v>7</v>
      </c>
      <c r="F179" s="26">
        <v>10</v>
      </c>
      <c r="G179" s="26">
        <v>26</v>
      </c>
      <c r="H179" s="26">
        <v>15</v>
      </c>
      <c r="I179" s="26">
        <v>6</v>
      </c>
      <c r="J179" s="26">
        <v>2</v>
      </c>
      <c r="K179" s="26">
        <v>64</v>
      </c>
      <c r="L179" s="26">
        <v>27</v>
      </c>
      <c r="M179" s="26">
        <v>22</v>
      </c>
      <c r="N179" s="26">
        <v>49</v>
      </c>
      <c r="O179" s="27">
        <v>0.625</v>
      </c>
      <c r="P179" s="26">
        <v>0</v>
      </c>
      <c r="Q179" s="32" t="s">
        <v>19</v>
      </c>
    </row>
    <row r="180" spans="1:17" ht="12.75">
      <c r="A180" s="4" t="s">
        <v>20</v>
      </c>
      <c r="B180" s="19" t="s">
        <v>53</v>
      </c>
      <c r="C180" s="15">
        <v>65</v>
      </c>
      <c r="D180" s="6">
        <v>68</v>
      </c>
      <c r="E180" s="6">
        <v>20</v>
      </c>
      <c r="F180" s="6">
        <v>3</v>
      </c>
      <c r="G180" s="6">
        <v>20</v>
      </c>
      <c r="H180" s="6">
        <v>8</v>
      </c>
      <c r="I180" s="6">
        <v>10</v>
      </c>
      <c r="J180" s="6">
        <v>4</v>
      </c>
      <c r="K180" s="6">
        <v>59</v>
      </c>
      <c r="L180" s="6">
        <v>14</v>
      </c>
      <c r="M180" s="6">
        <v>28</v>
      </c>
      <c r="N180" s="6">
        <v>42</v>
      </c>
      <c r="O180" s="7">
        <v>0.711864406779661</v>
      </c>
      <c r="P180" s="6">
        <v>0</v>
      </c>
      <c r="Q180" s="15">
        <v>-2</v>
      </c>
    </row>
    <row r="181" spans="1:17" ht="12.75">
      <c r="A181" s="4" t="s">
        <v>21</v>
      </c>
      <c r="B181" s="19" t="s">
        <v>46</v>
      </c>
      <c r="C181" s="15">
        <v>63</v>
      </c>
      <c r="D181" s="6">
        <v>68</v>
      </c>
      <c r="E181" s="6">
        <v>8</v>
      </c>
      <c r="F181" s="6">
        <v>9</v>
      </c>
      <c r="G181" s="6">
        <v>20</v>
      </c>
      <c r="H181" s="6">
        <v>10</v>
      </c>
      <c r="I181" s="6">
        <v>12</v>
      </c>
      <c r="J181" s="6">
        <v>4</v>
      </c>
      <c r="K181" s="6">
        <v>60</v>
      </c>
      <c r="L181" s="6">
        <v>16</v>
      </c>
      <c r="M181" s="6">
        <v>30</v>
      </c>
      <c r="N181" s="6">
        <v>46</v>
      </c>
      <c r="O181" s="7">
        <v>0.7666666666666667</v>
      </c>
      <c r="P181" s="6">
        <v>0</v>
      </c>
      <c r="Q181" s="15">
        <v>-4</v>
      </c>
    </row>
    <row r="182" spans="1:17" ht="12.75">
      <c r="A182" s="4" t="s">
        <v>22</v>
      </c>
      <c r="B182" s="19" t="s">
        <v>72</v>
      </c>
      <c r="C182" s="15">
        <v>61</v>
      </c>
      <c r="D182" s="6">
        <v>66</v>
      </c>
      <c r="E182" s="6">
        <v>11</v>
      </c>
      <c r="F182" s="6">
        <v>9</v>
      </c>
      <c r="G182" s="6">
        <v>17</v>
      </c>
      <c r="H182" s="6">
        <v>19</v>
      </c>
      <c r="I182" s="6">
        <v>5</v>
      </c>
      <c r="J182" s="6">
        <v>0</v>
      </c>
      <c r="K182" s="6">
        <v>57</v>
      </c>
      <c r="L182" s="6">
        <v>18</v>
      </c>
      <c r="M182" s="6">
        <v>23</v>
      </c>
      <c r="N182" s="6">
        <v>41</v>
      </c>
      <c r="O182" s="7">
        <v>0.7192982456140351</v>
      </c>
      <c r="P182" s="6">
        <v>0</v>
      </c>
      <c r="Q182" s="15">
        <v>-8</v>
      </c>
    </row>
    <row r="183" spans="1:17" ht="12.75">
      <c r="A183" s="4" t="s">
        <v>23</v>
      </c>
      <c r="B183" s="19" t="s">
        <v>51</v>
      </c>
      <c r="C183" s="15">
        <v>55</v>
      </c>
      <c r="D183" s="6">
        <v>66</v>
      </c>
      <c r="E183" s="6">
        <v>1</v>
      </c>
      <c r="F183" s="6">
        <v>9</v>
      </c>
      <c r="G183" s="6">
        <v>18</v>
      </c>
      <c r="H183" s="6">
        <v>12</v>
      </c>
      <c r="I183" s="6">
        <v>13</v>
      </c>
      <c r="J183" s="6">
        <v>2</v>
      </c>
      <c r="K183" s="6">
        <v>59</v>
      </c>
      <c r="L183" s="6">
        <v>18</v>
      </c>
      <c r="M183" s="6">
        <v>27</v>
      </c>
      <c r="N183" s="6">
        <v>45</v>
      </c>
      <c r="O183" s="7">
        <v>0.7627118644067796</v>
      </c>
      <c r="P183" s="6">
        <v>0</v>
      </c>
      <c r="Q183" s="15">
        <v>-10</v>
      </c>
    </row>
    <row r="184" spans="1:17" ht="12.75">
      <c r="A184" s="4" t="s">
        <v>24</v>
      </c>
      <c r="B184" s="19" t="s">
        <v>50</v>
      </c>
      <c r="C184" s="15">
        <v>53</v>
      </c>
      <c r="D184" s="6">
        <v>57</v>
      </c>
      <c r="E184" s="6">
        <v>10</v>
      </c>
      <c r="F184" s="6">
        <v>3</v>
      </c>
      <c r="G184" s="6">
        <v>16</v>
      </c>
      <c r="H184" s="6">
        <v>7</v>
      </c>
      <c r="I184" s="6">
        <v>9</v>
      </c>
      <c r="J184" s="6">
        <v>8</v>
      </c>
      <c r="K184" s="6">
        <v>47</v>
      </c>
      <c r="L184" s="6">
        <v>11</v>
      </c>
      <c r="M184" s="6">
        <v>21</v>
      </c>
      <c r="N184" s="6">
        <v>32</v>
      </c>
      <c r="O184" s="7">
        <v>0.6808510638297872</v>
      </c>
      <c r="P184" s="6">
        <v>0</v>
      </c>
      <c r="Q184" s="15">
        <v>-12</v>
      </c>
    </row>
    <row r="185" spans="1:17" ht="12.75">
      <c r="A185" s="4" t="s">
        <v>25</v>
      </c>
      <c r="B185" s="19" t="s">
        <v>47</v>
      </c>
      <c r="C185" s="15">
        <v>48</v>
      </c>
      <c r="D185" s="6">
        <v>65</v>
      </c>
      <c r="E185" s="6">
        <v>6</v>
      </c>
      <c r="F185" s="6">
        <v>2</v>
      </c>
      <c r="G185" s="6">
        <v>27</v>
      </c>
      <c r="H185" s="6">
        <v>6</v>
      </c>
      <c r="I185" s="6">
        <v>5</v>
      </c>
      <c r="J185" s="6">
        <v>2</v>
      </c>
      <c r="K185" s="6">
        <v>57</v>
      </c>
      <c r="L185" s="6">
        <v>17</v>
      </c>
      <c r="M185" s="6">
        <v>21</v>
      </c>
      <c r="N185" s="6">
        <v>38</v>
      </c>
      <c r="O185" s="7">
        <v>0.6666666666666666</v>
      </c>
      <c r="P185" s="6">
        <v>0</v>
      </c>
      <c r="Q185" s="15">
        <v>-17</v>
      </c>
    </row>
    <row r="186" spans="1:17" ht="12.75">
      <c r="A186" s="4" t="s">
        <v>26</v>
      </c>
      <c r="B186" s="19" t="s">
        <v>32</v>
      </c>
      <c r="C186" s="15">
        <v>44</v>
      </c>
      <c r="D186" s="26">
        <v>71</v>
      </c>
      <c r="E186" s="26">
        <v>0</v>
      </c>
      <c r="F186" s="26">
        <v>4</v>
      </c>
      <c r="G186" s="26">
        <v>19</v>
      </c>
      <c r="H186" s="26">
        <v>10</v>
      </c>
      <c r="I186" s="26">
        <v>8</v>
      </c>
      <c r="J186" s="26">
        <v>3</v>
      </c>
      <c r="K186" s="26">
        <v>61</v>
      </c>
      <c r="L186" s="26">
        <v>13</v>
      </c>
      <c r="M186" s="26">
        <v>27</v>
      </c>
      <c r="N186" s="6">
        <v>40</v>
      </c>
      <c r="O186" s="7">
        <v>0.6557377049180327</v>
      </c>
      <c r="P186" s="6">
        <v>0</v>
      </c>
      <c r="Q186" s="15">
        <v>-21</v>
      </c>
    </row>
    <row r="187" spans="1:17" ht="12.75">
      <c r="A187" s="4" t="s">
        <v>27</v>
      </c>
      <c r="B187" s="19" t="s">
        <v>52</v>
      </c>
      <c r="C187" s="15">
        <v>42</v>
      </c>
      <c r="D187" s="6">
        <v>61</v>
      </c>
      <c r="E187" s="6">
        <v>1</v>
      </c>
      <c r="F187" s="6">
        <v>3</v>
      </c>
      <c r="G187" s="6">
        <v>10</v>
      </c>
      <c r="H187" s="6">
        <v>17</v>
      </c>
      <c r="I187" s="6">
        <v>7</v>
      </c>
      <c r="J187" s="6">
        <v>4</v>
      </c>
      <c r="K187" s="6">
        <v>55</v>
      </c>
      <c r="L187" s="6">
        <v>14</v>
      </c>
      <c r="M187" s="6">
        <v>24</v>
      </c>
      <c r="N187" s="6">
        <v>38</v>
      </c>
      <c r="O187" s="7">
        <v>0.6909090909090909</v>
      </c>
      <c r="P187" s="6">
        <v>0</v>
      </c>
      <c r="Q187" s="15">
        <v>-23</v>
      </c>
    </row>
    <row r="188" spans="1:17" ht="12.75">
      <c r="A188" s="4" t="s">
        <v>28</v>
      </c>
      <c r="B188" s="19" t="s">
        <v>48</v>
      </c>
      <c r="C188" s="15">
        <v>35</v>
      </c>
      <c r="D188" s="6">
        <v>68</v>
      </c>
      <c r="E188" s="6">
        <v>5</v>
      </c>
      <c r="F188" s="6">
        <v>3</v>
      </c>
      <c r="G188" s="6">
        <v>11</v>
      </c>
      <c r="H188" s="6">
        <v>7</v>
      </c>
      <c r="I188" s="6">
        <v>7</v>
      </c>
      <c r="J188" s="6">
        <v>2</v>
      </c>
      <c r="K188" s="6">
        <v>62</v>
      </c>
      <c r="L188" s="6">
        <v>8</v>
      </c>
      <c r="M188" s="6">
        <v>19</v>
      </c>
      <c r="N188" s="6">
        <v>27</v>
      </c>
      <c r="O188" s="7">
        <v>0.43548387096774194</v>
      </c>
      <c r="P188" s="6">
        <v>0</v>
      </c>
      <c r="Q188" s="15">
        <v>-30</v>
      </c>
    </row>
    <row r="189" spans="5:8" ht="13.5" thickBot="1">
      <c r="E189" s="61"/>
      <c r="F189" s="62"/>
      <c r="G189" s="64"/>
      <c r="H189" s="63"/>
    </row>
    <row r="190" spans="1:17" ht="27.75">
      <c r="A190" s="118" t="s">
        <v>132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20"/>
    </row>
    <row r="191" spans="1:17" ht="12.75">
      <c r="A191" s="3"/>
      <c r="B191" s="3"/>
      <c r="C191" s="3"/>
      <c r="D191" s="3"/>
      <c r="E191" s="122" t="s">
        <v>1</v>
      </c>
      <c r="F191" s="122"/>
      <c r="G191" s="122"/>
      <c r="H191" s="122"/>
      <c r="I191" s="122"/>
      <c r="J191" s="122"/>
      <c r="K191" s="14"/>
      <c r="L191" s="1"/>
      <c r="M191" s="1"/>
      <c r="N191" s="1"/>
      <c r="O191" s="1"/>
      <c r="P191" s="1"/>
      <c r="Q191" s="1"/>
    </row>
    <row r="192" spans="1:17" ht="65.25" thickBot="1">
      <c r="A192" s="33" t="s">
        <v>2</v>
      </c>
      <c r="B192" s="33" t="s">
        <v>3</v>
      </c>
      <c r="C192" s="34" t="s">
        <v>1</v>
      </c>
      <c r="D192" s="35" t="s">
        <v>4</v>
      </c>
      <c r="E192" s="36" t="s">
        <v>5</v>
      </c>
      <c r="F192" s="36" t="s">
        <v>6</v>
      </c>
      <c r="G192" s="36" t="s">
        <v>7</v>
      </c>
      <c r="H192" s="36" t="s">
        <v>8</v>
      </c>
      <c r="I192" s="36" t="s">
        <v>9</v>
      </c>
      <c r="J192" s="36" t="s">
        <v>10</v>
      </c>
      <c r="K192" s="37" t="s">
        <v>11</v>
      </c>
      <c r="L192" s="37" t="s">
        <v>12</v>
      </c>
      <c r="M192" s="37" t="s">
        <v>13</v>
      </c>
      <c r="N192" s="37" t="s">
        <v>14</v>
      </c>
      <c r="O192" s="38" t="s">
        <v>15</v>
      </c>
      <c r="P192" s="38" t="s">
        <v>16</v>
      </c>
      <c r="Q192" s="39" t="s">
        <v>17</v>
      </c>
    </row>
    <row r="193" spans="1:17" ht="12.75">
      <c r="A193" s="23" t="s">
        <v>18</v>
      </c>
      <c r="B193" s="24" t="s">
        <v>50</v>
      </c>
      <c r="C193" s="31">
        <v>66</v>
      </c>
      <c r="D193" s="26">
        <v>79</v>
      </c>
      <c r="E193" s="26">
        <v>12</v>
      </c>
      <c r="F193" s="26">
        <v>7</v>
      </c>
      <c r="G193" s="26">
        <v>23</v>
      </c>
      <c r="H193" s="26">
        <v>8</v>
      </c>
      <c r="I193" s="26">
        <v>12</v>
      </c>
      <c r="J193" s="26">
        <v>4</v>
      </c>
      <c r="K193" s="26">
        <v>67</v>
      </c>
      <c r="L193" s="26">
        <v>15</v>
      </c>
      <c r="M193" s="26">
        <v>28</v>
      </c>
      <c r="N193" s="26">
        <v>43</v>
      </c>
      <c r="O193" s="27">
        <v>0.6417910447761194</v>
      </c>
      <c r="P193" s="26">
        <v>0</v>
      </c>
      <c r="Q193" s="32" t="s">
        <v>19</v>
      </c>
    </row>
    <row r="194" spans="1:17" ht="12.75">
      <c r="A194" s="4" t="s">
        <v>20</v>
      </c>
      <c r="B194" s="19" t="s">
        <v>52</v>
      </c>
      <c r="C194" s="15">
        <v>65</v>
      </c>
      <c r="D194" s="6">
        <v>72</v>
      </c>
      <c r="E194" s="6">
        <v>11</v>
      </c>
      <c r="F194" s="6">
        <v>6</v>
      </c>
      <c r="G194" s="6">
        <v>25</v>
      </c>
      <c r="H194" s="6">
        <v>9</v>
      </c>
      <c r="I194" s="6">
        <v>10</v>
      </c>
      <c r="J194" s="6">
        <v>4</v>
      </c>
      <c r="K194" s="6">
        <v>65</v>
      </c>
      <c r="L194" s="6">
        <v>20</v>
      </c>
      <c r="M194" s="6">
        <v>28</v>
      </c>
      <c r="N194" s="6">
        <v>48</v>
      </c>
      <c r="O194" s="7">
        <v>0.7384615384615385</v>
      </c>
      <c r="P194" s="6">
        <v>0</v>
      </c>
      <c r="Q194" s="15">
        <v>-1</v>
      </c>
    </row>
    <row r="195" spans="1:17" ht="12.75">
      <c r="A195" s="4" t="s">
        <v>21</v>
      </c>
      <c r="B195" s="19" t="s">
        <v>49</v>
      </c>
      <c r="C195" s="15">
        <v>59</v>
      </c>
      <c r="D195" s="6">
        <v>75</v>
      </c>
      <c r="E195" s="6">
        <v>2</v>
      </c>
      <c r="F195" s="6">
        <v>10</v>
      </c>
      <c r="G195" s="6">
        <v>20</v>
      </c>
      <c r="H195" s="6">
        <v>17</v>
      </c>
      <c r="I195" s="6">
        <v>8</v>
      </c>
      <c r="J195" s="6">
        <v>2</v>
      </c>
      <c r="K195" s="6">
        <v>66</v>
      </c>
      <c r="L195" s="6">
        <v>16</v>
      </c>
      <c r="M195" s="6">
        <v>31</v>
      </c>
      <c r="N195" s="6">
        <v>47</v>
      </c>
      <c r="O195" s="7">
        <v>0.7121212121212122</v>
      </c>
      <c r="P195" s="6">
        <v>0</v>
      </c>
      <c r="Q195" s="15">
        <v>-7</v>
      </c>
    </row>
    <row r="196" spans="1:17" ht="12.75">
      <c r="A196" s="4" t="s">
        <v>22</v>
      </c>
      <c r="B196" s="19" t="s">
        <v>46</v>
      </c>
      <c r="C196" s="15">
        <v>58</v>
      </c>
      <c r="D196" s="6">
        <v>79</v>
      </c>
      <c r="E196" s="6">
        <v>2</v>
      </c>
      <c r="F196" s="6">
        <v>11</v>
      </c>
      <c r="G196" s="6">
        <v>19</v>
      </c>
      <c r="H196" s="6">
        <v>15</v>
      </c>
      <c r="I196" s="6">
        <v>7</v>
      </c>
      <c r="J196" s="6">
        <v>4</v>
      </c>
      <c r="K196" s="6">
        <v>70</v>
      </c>
      <c r="L196" s="6">
        <v>15</v>
      </c>
      <c r="M196" s="6">
        <v>30</v>
      </c>
      <c r="N196" s="6">
        <v>45</v>
      </c>
      <c r="O196" s="7">
        <v>0.6428571428571429</v>
      </c>
      <c r="P196" s="6">
        <v>0</v>
      </c>
      <c r="Q196" s="15">
        <v>-8</v>
      </c>
    </row>
    <row r="197" spans="1:17" ht="12.75">
      <c r="A197" s="4" t="s">
        <v>23</v>
      </c>
      <c r="B197" s="19" t="s">
        <v>48</v>
      </c>
      <c r="C197" s="15">
        <v>56</v>
      </c>
      <c r="D197" s="6">
        <v>73</v>
      </c>
      <c r="E197" s="6">
        <v>10</v>
      </c>
      <c r="F197" s="6">
        <v>4</v>
      </c>
      <c r="G197" s="6">
        <v>16</v>
      </c>
      <c r="H197" s="6">
        <v>11</v>
      </c>
      <c r="I197" s="6">
        <v>13</v>
      </c>
      <c r="J197" s="6">
        <v>3</v>
      </c>
      <c r="K197" s="6">
        <v>64</v>
      </c>
      <c r="L197" s="6">
        <v>13</v>
      </c>
      <c r="M197" s="6">
        <v>30</v>
      </c>
      <c r="N197" s="6">
        <v>43</v>
      </c>
      <c r="O197" s="7">
        <v>0.671875</v>
      </c>
      <c r="P197" s="6">
        <v>0</v>
      </c>
      <c r="Q197" s="15">
        <v>-10</v>
      </c>
    </row>
    <row r="198" spans="1:17" ht="12.75">
      <c r="A198" s="4" t="s">
        <v>24</v>
      </c>
      <c r="B198" s="19" t="s">
        <v>32</v>
      </c>
      <c r="C198" s="15">
        <v>53</v>
      </c>
      <c r="D198" s="6">
        <v>64</v>
      </c>
      <c r="E198" s="6">
        <v>7</v>
      </c>
      <c r="F198" s="6">
        <v>14</v>
      </c>
      <c r="G198" s="6">
        <v>17</v>
      </c>
      <c r="H198" s="6">
        <v>8</v>
      </c>
      <c r="I198" s="6">
        <v>3</v>
      </c>
      <c r="J198" s="6">
        <v>4</v>
      </c>
      <c r="K198" s="6">
        <v>59</v>
      </c>
      <c r="L198" s="6">
        <v>7</v>
      </c>
      <c r="M198" s="6">
        <v>25</v>
      </c>
      <c r="N198" s="6">
        <v>32</v>
      </c>
      <c r="O198" s="7">
        <v>0.5423728813559322</v>
      </c>
      <c r="P198" s="6">
        <v>0</v>
      </c>
      <c r="Q198" s="15">
        <v>-13</v>
      </c>
    </row>
    <row r="199" spans="1:17" ht="12.75">
      <c r="A199" s="4" t="s">
        <v>25</v>
      </c>
      <c r="B199" s="19" t="s">
        <v>47</v>
      </c>
      <c r="C199" s="15">
        <v>48</v>
      </c>
      <c r="D199" s="6">
        <v>59</v>
      </c>
      <c r="E199" s="6">
        <v>0</v>
      </c>
      <c r="F199" s="6">
        <v>6</v>
      </c>
      <c r="G199" s="6">
        <v>23</v>
      </c>
      <c r="H199" s="6">
        <v>13</v>
      </c>
      <c r="I199" s="6">
        <v>4</v>
      </c>
      <c r="J199" s="6">
        <v>2</v>
      </c>
      <c r="K199" s="6">
        <v>48</v>
      </c>
      <c r="L199" s="6">
        <v>15</v>
      </c>
      <c r="M199" s="6">
        <v>27</v>
      </c>
      <c r="N199" s="6">
        <v>42</v>
      </c>
      <c r="O199" s="7">
        <v>0.875</v>
      </c>
      <c r="P199" s="6">
        <v>0</v>
      </c>
      <c r="Q199" s="15">
        <v>-18</v>
      </c>
    </row>
    <row r="200" spans="1:17" ht="12.75">
      <c r="A200" s="4" t="s">
        <v>26</v>
      </c>
      <c r="B200" s="19" t="s">
        <v>53</v>
      </c>
      <c r="C200" s="15">
        <v>47</v>
      </c>
      <c r="D200" s="26">
        <v>63</v>
      </c>
      <c r="E200" s="26">
        <v>15</v>
      </c>
      <c r="F200" s="26">
        <v>2</v>
      </c>
      <c r="G200" s="26">
        <v>14</v>
      </c>
      <c r="H200" s="26">
        <v>6</v>
      </c>
      <c r="I200" s="26">
        <v>9</v>
      </c>
      <c r="J200" s="26">
        <v>1</v>
      </c>
      <c r="K200" s="26">
        <v>58</v>
      </c>
      <c r="L200" s="26">
        <v>13</v>
      </c>
      <c r="M200" s="26">
        <v>17</v>
      </c>
      <c r="N200" s="6">
        <v>30</v>
      </c>
      <c r="O200" s="7">
        <v>0.5172413793103449</v>
      </c>
      <c r="P200" s="6">
        <v>0</v>
      </c>
      <c r="Q200" s="15">
        <v>-19</v>
      </c>
    </row>
    <row r="201" spans="1:17" ht="12.75">
      <c r="A201" s="4" t="s">
        <v>27</v>
      </c>
      <c r="B201" s="19" t="s">
        <v>51</v>
      </c>
      <c r="C201" s="15">
        <v>43</v>
      </c>
      <c r="D201" s="6">
        <v>78</v>
      </c>
      <c r="E201" s="6">
        <v>2</v>
      </c>
      <c r="F201" s="6">
        <v>4</v>
      </c>
      <c r="G201" s="6">
        <v>18</v>
      </c>
      <c r="H201" s="6">
        <v>13</v>
      </c>
      <c r="I201" s="6">
        <v>4</v>
      </c>
      <c r="J201" s="6">
        <v>2</v>
      </c>
      <c r="K201" s="6">
        <v>69</v>
      </c>
      <c r="L201" s="6">
        <v>9</v>
      </c>
      <c r="M201" s="6">
        <v>28</v>
      </c>
      <c r="N201" s="6">
        <v>37</v>
      </c>
      <c r="O201" s="7">
        <v>0.5362318840579711</v>
      </c>
      <c r="P201" s="6">
        <v>0</v>
      </c>
      <c r="Q201" s="15">
        <v>-23</v>
      </c>
    </row>
    <row r="202" spans="1:17" ht="12.75">
      <c r="A202" s="4" t="s">
        <v>28</v>
      </c>
      <c r="B202" s="19" t="s">
        <v>72</v>
      </c>
      <c r="C202" s="15">
        <v>40</v>
      </c>
      <c r="D202" s="6">
        <v>56</v>
      </c>
      <c r="E202" s="6">
        <v>4</v>
      </c>
      <c r="F202" s="6">
        <v>6</v>
      </c>
      <c r="G202" s="6">
        <v>15</v>
      </c>
      <c r="H202" s="6">
        <v>9</v>
      </c>
      <c r="I202" s="6">
        <v>6</v>
      </c>
      <c r="J202" s="6">
        <v>0</v>
      </c>
      <c r="K202" s="6">
        <v>49</v>
      </c>
      <c r="L202" s="6">
        <v>11</v>
      </c>
      <c r="M202" s="6">
        <v>19</v>
      </c>
      <c r="N202" s="6">
        <v>30</v>
      </c>
      <c r="O202" s="7">
        <v>0.6122448979591837</v>
      </c>
      <c r="P202" s="6">
        <v>0</v>
      </c>
      <c r="Q202" s="15">
        <v>-26</v>
      </c>
    </row>
    <row r="203" spans="5:8" ht="13.5" thickBot="1">
      <c r="E203" s="61"/>
      <c r="F203" s="62"/>
      <c r="G203" s="64"/>
      <c r="H203" s="63"/>
    </row>
    <row r="204" spans="1:17" ht="27.75">
      <c r="A204" s="118" t="s">
        <v>126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20"/>
    </row>
    <row r="205" spans="1:17" ht="12.75">
      <c r="A205" s="3"/>
      <c r="B205" s="3"/>
      <c r="C205" s="3"/>
      <c r="D205" s="3"/>
      <c r="E205" s="122" t="s">
        <v>1</v>
      </c>
      <c r="F205" s="122"/>
      <c r="G205" s="122"/>
      <c r="H205" s="122"/>
      <c r="I205" s="122"/>
      <c r="J205" s="122"/>
      <c r="K205" s="14"/>
      <c r="L205" s="1"/>
      <c r="M205" s="1"/>
      <c r="N205" s="1"/>
      <c r="O205" s="1"/>
      <c r="P205" s="1"/>
      <c r="Q205" s="1"/>
    </row>
    <row r="206" spans="1:17" ht="65.25" thickBot="1">
      <c r="A206" s="33" t="s">
        <v>2</v>
      </c>
      <c r="B206" s="33" t="s">
        <v>3</v>
      </c>
      <c r="C206" s="34" t="s">
        <v>1</v>
      </c>
      <c r="D206" s="35" t="s">
        <v>4</v>
      </c>
      <c r="E206" s="36" t="s">
        <v>5</v>
      </c>
      <c r="F206" s="36" t="s">
        <v>6</v>
      </c>
      <c r="G206" s="36" t="s">
        <v>7</v>
      </c>
      <c r="H206" s="36" t="s">
        <v>8</v>
      </c>
      <c r="I206" s="36" t="s">
        <v>9</v>
      </c>
      <c r="J206" s="36" t="s">
        <v>10</v>
      </c>
      <c r="K206" s="37" t="s">
        <v>11</v>
      </c>
      <c r="L206" s="37" t="s">
        <v>12</v>
      </c>
      <c r="M206" s="37" t="s">
        <v>13</v>
      </c>
      <c r="N206" s="37" t="s">
        <v>14</v>
      </c>
      <c r="O206" s="38" t="s">
        <v>15</v>
      </c>
      <c r="P206" s="38" t="s">
        <v>16</v>
      </c>
      <c r="Q206" s="39" t="s">
        <v>17</v>
      </c>
    </row>
    <row r="207" spans="1:17" ht="12.75">
      <c r="A207" s="23" t="s">
        <v>18</v>
      </c>
      <c r="B207" s="24" t="s">
        <v>50</v>
      </c>
      <c r="C207" s="31">
        <v>67</v>
      </c>
      <c r="D207" s="26">
        <v>60</v>
      </c>
      <c r="E207" s="26">
        <v>10</v>
      </c>
      <c r="F207" s="26">
        <v>6</v>
      </c>
      <c r="G207" s="26">
        <v>18</v>
      </c>
      <c r="H207" s="26">
        <v>6</v>
      </c>
      <c r="I207" s="26">
        <v>11</v>
      </c>
      <c r="J207" s="26">
        <v>16</v>
      </c>
      <c r="K207" s="26">
        <v>49</v>
      </c>
      <c r="L207" s="26">
        <v>7</v>
      </c>
      <c r="M207" s="26">
        <v>28</v>
      </c>
      <c r="N207" s="26">
        <v>35</v>
      </c>
      <c r="O207" s="27">
        <v>0.7142857142857143</v>
      </c>
      <c r="P207" s="26">
        <v>0</v>
      </c>
      <c r="Q207" s="32" t="s">
        <v>19</v>
      </c>
    </row>
    <row r="208" spans="1:17" ht="12.75">
      <c r="A208" s="4" t="s">
        <v>20</v>
      </c>
      <c r="B208" s="19" t="s">
        <v>49</v>
      </c>
      <c r="C208" s="15">
        <v>64</v>
      </c>
      <c r="D208" s="6">
        <v>72</v>
      </c>
      <c r="E208" s="6">
        <v>9</v>
      </c>
      <c r="F208" s="6">
        <v>4</v>
      </c>
      <c r="G208" s="6">
        <v>21</v>
      </c>
      <c r="H208" s="6">
        <v>13</v>
      </c>
      <c r="I208" s="6">
        <v>11</v>
      </c>
      <c r="J208" s="6">
        <v>6</v>
      </c>
      <c r="K208" s="6">
        <v>65</v>
      </c>
      <c r="L208" s="6">
        <v>20</v>
      </c>
      <c r="M208" s="6">
        <v>31</v>
      </c>
      <c r="N208" s="6">
        <v>51</v>
      </c>
      <c r="O208" s="7">
        <v>0.7846153846153846</v>
      </c>
      <c r="P208" s="6">
        <v>0</v>
      </c>
      <c r="Q208" s="15">
        <v>-3</v>
      </c>
    </row>
    <row r="209" spans="1:17" ht="12.75">
      <c r="A209" s="4" t="s">
        <v>21</v>
      </c>
      <c r="B209" s="19" t="s">
        <v>32</v>
      </c>
      <c r="C209" s="15">
        <v>55</v>
      </c>
      <c r="D209" s="6">
        <v>67</v>
      </c>
      <c r="E209" s="6">
        <v>8</v>
      </c>
      <c r="F209" s="6">
        <v>7</v>
      </c>
      <c r="G209" s="6">
        <v>18</v>
      </c>
      <c r="H209" s="6">
        <v>11</v>
      </c>
      <c r="I209" s="6">
        <v>8</v>
      </c>
      <c r="J209" s="6">
        <v>3</v>
      </c>
      <c r="K209" s="6">
        <v>60</v>
      </c>
      <c r="L209" s="6">
        <v>14</v>
      </c>
      <c r="M209" s="6">
        <v>26</v>
      </c>
      <c r="N209" s="6">
        <v>40</v>
      </c>
      <c r="O209" s="7">
        <v>0.6666666666666666</v>
      </c>
      <c r="P209" s="6">
        <v>0</v>
      </c>
      <c r="Q209" s="15">
        <v>-12</v>
      </c>
    </row>
    <row r="210" spans="1:17" ht="12.75">
      <c r="A210" s="4" t="s">
        <v>22</v>
      </c>
      <c r="B210" s="19" t="s">
        <v>72</v>
      </c>
      <c r="C210" s="15">
        <v>53</v>
      </c>
      <c r="D210" s="6">
        <v>71</v>
      </c>
      <c r="E210" s="6">
        <v>9</v>
      </c>
      <c r="F210" s="6">
        <v>8</v>
      </c>
      <c r="G210" s="6">
        <v>19</v>
      </c>
      <c r="H210" s="6">
        <v>7</v>
      </c>
      <c r="I210" s="6">
        <v>10</v>
      </c>
      <c r="J210" s="6">
        <v>0</v>
      </c>
      <c r="K210" s="6">
        <v>60</v>
      </c>
      <c r="L210" s="6">
        <v>15</v>
      </c>
      <c r="M210" s="6">
        <v>21</v>
      </c>
      <c r="N210" s="6">
        <v>36</v>
      </c>
      <c r="O210" s="7">
        <v>0.6</v>
      </c>
      <c r="P210" s="6">
        <v>0</v>
      </c>
      <c r="Q210" s="15">
        <v>-14</v>
      </c>
    </row>
    <row r="211" spans="1:17" ht="12.75">
      <c r="A211" s="4" t="s">
        <v>23</v>
      </c>
      <c r="B211" s="19" t="s">
        <v>51</v>
      </c>
      <c r="C211" s="15">
        <v>52</v>
      </c>
      <c r="D211" s="6">
        <v>61</v>
      </c>
      <c r="E211" s="6">
        <v>4</v>
      </c>
      <c r="F211" s="6">
        <v>2</v>
      </c>
      <c r="G211" s="6">
        <v>18</v>
      </c>
      <c r="H211" s="6">
        <v>16</v>
      </c>
      <c r="I211" s="6">
        <v>10</v>
      </c>
      <c r="J211" s="6">
        <v>2</v>
      </c>
      <c r="K211" s="6">
        <v>54</v>
      </c>
      <c r="L211" s="6">
        <v>16</v>
      </c>
      <c r="M211" s="6">
        <v>30</v>
      </c>
      <c r="N211" s="6">
        <v>46</v>
      </c>
      <c r="O211" s="7">
        <v>0.8518518518518519</v>
      </c>
      <c r="P211" s="6">
        <v>0</v>
      </c>
      <c r="Q211" s="15">
        <v>-15</v>
      </c>
    </row>
    <row r="212" spans="1:17" ht="12.75">
      <c r="A212" s="4" t="s">
        <v>24</v>
      </c>
      <c r="B212" s="19" t="s">
        <v>52</v>
      </c>
      <c r="C212" s="15">
        <v>51</v>
      </c>
      <c r="D212" s="6">
        <v>63</v>
      </c>
      <c r="E212" s="6">
        <v>6</v>
      </c>
      <c r="F212" s="6">
        <v>4</v>
      </c>
      <c r="G212" s="6">
        <v>18</v>
      </c>
      <c r="H212" s="6">
        <v>12</v>
      </c>
      <c r="I212" s="6">
        <v>10</v>
      </c>
      <c r="J212" s="6">
        <v>1</v>
      </c>
      <c r="K212" s="6">
        <v>57</v>
      </c>
      <c r="L212" s="6">
        <v>14</v>
      </c>
      <c r="M212" s="6">
        <v>27</v>
      </c>
      <c r="N212" s="6">
        <v>41</v>
      </c>
      <c r="O212" s="7">
        <v>0.7192982456140351</v>
      </c>
      <c r="P212" s="6">
        <v>0</v>
      </c>
      <c r="Q212" s="15">
        <v>-16</v>
      </c>
    </row>
    <row r="213" spans="1:17" ht="12.75">
      <c r="A213" s="4" t="s">
        <v>25</v>
      </c>
      <c r="B213" s="19" t="s">
        <v>48</v>
      </c>
      <c r="C213" s="15">
        <v>50</v>
      </c>
      <c r="D213" s="6">
        <v>69</v>
      </c>
      <c r="E213" s="6">
        <v>0</v>
      </c>
      <c r="F213" s="6">
        <v>4</v>
      </c>
      <c r="G213" s="6">
        <v>18</v>
      </c>
      <c r="H213" s="6">
        <v>14</v>
      </c>
      <c r="I213" s="6">
        <v>10</v>
      </c>
      <c r="J213" s="6">
        <v>4</v>
      </c>
      <c r="K213" s="6">
        <v>61</v>
      </c>
      <c r="L213" s="6">
        <v>17</v>
      </c>
      <c r="M213" s="6">
        <v>29</v>
      </c>
      <c r="N213" s="6">
        <v>45</v>
      </c>
      <c r="O213" s="7">
        <v>0.7377049180327869</v>
      </c>
      <c r="P213" s="6">
        <v>0</v>
      </c>
      <c r="Q213" s="15">
        <v>-18</v>
      </c>
    </row>
    <row r="214" spans="1:17" ht="12.75">
      <c r="A214" s="4" t="s">
        <v>26</v>
      </c>
      <c r="B214" s="19" t="s">
        <v>46</v>
      </c>
      <c r="C214" s="15">
        <v>44</v>
      </c>
      <c r="D214" s="26">
        <v>68</v>
      </c>
      <c r="E214" s="26">
        <v>1</v>
      </c>
      <c r="F214" s="26">
        <v>4</v>
      </c>
      <c r="G214" s="26">
        <v>15</v>
      </c>
      <c r="H214" s="26">
        <v>13</v>
      </c>
      <c r="I214" s="26">
        <v>9</v>
      </c>
      <c r="J214" s="26">
        <v>2</v>
      </c>
      <c r="K214" s="26">
        <v>62</v>
      </c>
      <c r="L214" s="26">
        <v>9</v>
      </c>
      <c r="M214" s="26">
        <v>30</v>
      </c>
      <c r="N214" s="6">
        <v>39</v>
      </c>
      <c r="O214" s="7">
        <v>0.6290322580645161</v>
      </c>
      <c r="P214" s="6">
        <v>0</v>
      </c>
      <c r="Q214" s="15">
        <v>-23</v>
      </c>
    </row>
    <row r="215" spans="1:17" ht="12.75">
      <c r="A215" s="4" t="s">
        <v>27</v>
      </c>
      <c r="B215" s="19" t="s">
        <v>53</v>
      </c>
      <c r="C215" s="15">
        <v>42</v>
      </c>
      <c r="D215" s="6">
        <v>66</v>
      </c>
      <c r="E215" s="6">
        <v>4</v>
      </c>
      <c r="F215" s="6">
        <v>5</v>
      </c>
      <c r="G215" s="6">
        <v>13</v>
      </c>
      <c r="H215" s="6">
        <v>9</v>
      </c>
      <c r="I215" s="6">
        <v>7</v>
      </c>
      <c r="J215" s="6">
        <v>4</v>
      </c>
      <c r="K215" s="6">
        <v>59</v>
      </c>
      <c r="L215" s="6">
        <v>13</v>
      </c>
      <c r="M215" s="6">
        <v>20</v>
      </c>
      <c r="N215" s="6">
        <v>33</v>
      </c>
      <c r="O215" s="7">
        <v>0.559322033898305</v>
      </c>
      <c r="P215" s="6">
        <v>0</v>
      </c>
      <c r="Q215" s="15">
        <v>-25</v>
      </c>
    </row>
    <row r="216" spans="1:17" ht="12.75">
      <c r="A216" s="4" t="s">
        <v>28</v>
      </c>
      <c r="B216" s="19" t="s">
        <v>47</v>
      </c>
      <c r="C216" s="15">
        <v>41</v>
      </c>
      <c r="D216" s="6">
        <v>78</v>
      </c>
      <c r="E216" s="6">
        <v>-5</v>
      </c>
      <c r="F216" s="6">
        <v>5</v>
      </c>
      <c r="G216" s="6">
        <v>18</v>
      </c>
      <c r="H216" s="6">
        <v>13</v>
      </c>
      <c r="I216" s="6">
        <v>9</v>
      </c>
      <c r="J216" s="6">
        <v>1</v>
      </c>
      <c r="K216" s="6">
        <v>67</v>
      </c>
      <c r="L216" s="6">
        <v>21</v>
      </c>
      <c r="M216" s="6">
        <v>20</v>
      </c>
      <c r="N216" s="6">
        <v>41</v>
      </c>
      <c r="O216" s="7">
        <v>0.6119402985074627</v>
      </c>
      <c r="P216" s="6">
        <v>0</v>
      </c>
      <c r="Q216" s="15">
        <v>-26</v>
      </c>
    </row>
    <row r="217" spans="5:8" ht="13.5" thickBot="1">
      <c r="E217" s="61"/>
      <c r="F217" s="62"/>
      <c r="G217" s="64"/>
      <c r="H217" s="63"/>
    </row>
    <row r="218" spans="1:17" ht="27.75">
      <c r="A218" s="118" t="s">
        <v>125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20"/>
    </row>
    <row r="219" spans="1:17" ht="12.75">
      <c r="A219" s="3"/>
      <c r="B219" s="3"/>
      <c r="C219" s="3"/>
      <c r="D219" s="3"/>
      <c r="E219" s="122" t="s">
        <v>1</v>
      </c>
      <c r="F219" s="122"/>
      <c r="G219" s="122"/>
      <c r="H219" s="122"/>
      <c r="I219" s="122"/>
      <c r="J219" s="122"/>
      <c r="K219" s="14"/>
      <c r="L219" s="1"/>
      <c r="M219" s="1"/>
      <c r="N219" s="1"/>
      <c r="O219" s="1"/>
      <c r="P219" s="1"/>
      <c r="Q219" s="1"/>
    </row>
    <row r="220" spans="1:17" ht="65.25" thickBot="1">
      <c r="A220" s="33" t="s">
        <v>2</v>
      </c>
      <c r="B220" s="33" t="s">
        <v>3</v>
      </c>
      <c r="C220" s="34" t="s">
        <v>1</v>
      </c>
      <c r="D220" s="35" t="s">
        <v>4</v>
      </c>
      <c r="E220" s="36" t="s">
        <v>5</v>
      </c>
      <c r="F220" s="36" t="s">
        <v>6</v>
      </c>
      <c r="G220" s="36" t="s">
        <v>7</v>
      </c>
      <c r="H220" s="36" t="s">
        <v>8</v>
      </c>
      <c r="I220" s="36" t="s">
        <v>9</v>
      </c>
      <c r="J220" s="36" t="s">
        <v>10</v>
      </c>
      <c r="K220" s="37" t="s">
        <v>11</v>
      </c>
      <c r="L220" s="37" t="s">
        <v>12</v>
      </c>
      <c r="M220" s="37" t="s">
        <v>13</v>
      </c>
      <c r="N220" s="37" t="s">
        <v>14</v>
      </c>
      <c r="O220" s="38" t="s">
        <v>15</v>
      </c>
      <c r="P220" s="38" t="s">
        <v>16</v>
      </c>
      <c r="Q220" s="39" t="s">
        <v>17</v>
      </c>
    </row>
    <row r="221" spans="1:17" ht="12.75">
      <c r="A221" s="23" t="s">
        <v>18</v>
      </c>
      <c r="B221" s="24" t="s">
        <v>32</v>
      </c>
      <c r="C221" s="31">
        <v>73</v>
      </c>
      <c r="D221" s="26">
        <v>72</v>
      </c>
      <c r="E221" s="26">
        <v>17</v>
      </c>
      <c r="F221" s="26">
        <v>8</v>
      </c>
      <c r="G221" s="26">
        <v>24</v>
      </c>
      <c r="H221" s="26">
        <v>12</v>
      </c>
      <c r="I221" s="26">
        <v>12</v>
      </c>
      <c r="J221" s="26">
        <v>0</v>
      </c>
      <c r="K221" s="26">
        <v>63</v>
      </c>
      <c r="L221" s="26">
        <v>21</v>
      </c>
      <c r="M221" s="26">
        <v>27</v>
      </c>
      <c r="N221" s="26">
        <v>48</v>
      </c>
      <c r="O221" s="27">
        <v>0.7619047619047619</v>
      </c>
      <c r="P221" s="26">
        <v>0</v>
      </c>
      <c r="Q221" s="32" t="s">
        <v>19</v>
      </c>
    </row>
    <row r="222" spans="1:17" ht="12.75">
      <c r="A222" s="4" t="s">
        <v>20</v>
      </c>
      <c r="B222" s="19" t="s">
        <v>50</v>
      </c>
      <c r="C222" s="15">
        <v>65</v>
      </c>
      <c r="D222" s="6">
        <v>76</v>
      </c>
      <c r="E222" s="6">
        <v>11</v>
      </c>
      <c r="F222" s="6">
        <v>11</v>
      </c>
      <c r="G222" s="6">
        <v>18</v>
      </c>
      <c r="H222" s="6">
        <v>11</v>
      </c>
      <c r="I222" s="6">
        <v>5</v>
      </c>
      <c r="J222" s="6">
        <v>9</v>
      </c>
      <c r="K222" s="6">
        <v>65</v>
      </c>
      <c r="L222" s="6">
        <v>13</v>
      </c>
      <c r="M222" s="6">
        <v>21</v>
      </c>
      <c r="N222" s="6">
        <v>34</v>
      </c>
      <c r="O222" s="7">
        <v>0.5230769230769231</v>
      </c>
      <c r="P222" s="6">
        <v>0</v>
      </c>
      <c r="Q222" s="15">
        <v>-8</v>
      </c>
    </row>
    <row r="223" spans="1:17" ht="12.75">
      <c r="A223" s="4" t="s">
        <v>21</v>
      </c>
      <c r="B223" s="19" t="s">
        <v>46</v>
      </c>
      <c r="C223" s="15">
        <v>64</v>
      </c>
      <c r="D223" s="6">
        <v>67</v>
      </c>
      <c r="E223" s="6">
        <v>13</v>
      </c>
      <c r="F223" s="6">
        <v>14</v>
      </c>
      <c r="G223" s="6">
        <v>22</v>
      </c>
      <c r="H223" s="6">
        <v>7</v>
      </c>
      <c r="I223" s="6">
        <v>7</v>
      </c>
      <c r="J223" s="6">
        <v>1</v>
      </c>
      <c r="K223" s="6">
        <v>59</v>
      </c>
      <c r="L223" s="6">
        <v>10</v>
      </c>
      <c r="M223" s="6">
        <v>27</v>
      </c>
      <c r="N223" s="6">
        <v>37</v>
      </c>
      <c r="O223" s="7">
        <v>0.6271186440677966</v>
      </c>
      <c r="P223" s="6">
        <v>0</v>
      </c>
      <c r="Q223" s="15">
        <v>-9</v>
      </c>
    </row>
    <row r="224" spans="1:17" ht="12.75">
      <c r="A224" s="4" t="s">
        <v>22</v>
      </c>
      <c r="B224" s="19" t="s">
        <v>47</v>
      </c>
      <c r="C224" s="15">
        <v>64</v>
      </c>
      <c r="D224" s="6">
        <v>70</v>
      </c>
      <c r="E224" s="6">
        <v>11</v>
      </c>
      <c r="F224" s="6">
        <v>8</v>
      </c>
      <c r="G224" s="6">
        <v>26</v>
      </c>
      <c r="H224" s="6">
        <v>11</v>
      </c>
      <c r="I224" s="6">
        <v>7</v>
      </c>
      <c r="J224" s="6">
        <v>1</v>
      </c>
      <c r="K224" s="6">
        <v>60</v>
      </c>
      <c r="L224" s="6">
        <v>14</v>
      </c>
      <c r="M224" s="6">
        <v>31</v>
      </c>
      <c r="N224" s="6">
        <v>45</v>
      </c>
      <c r="O224" s="7">
        <v>0.75</v>
      </c>
      <c r="P224" s="6">
        <v>0</v>
      </c>
      <c r="Q224" s="15">
        <v>-9</v>
      </c>
    </row>
    <row r="225" spans="1:17" ht="12.75">
      <c r="A225" s="4" t="s">
        <v>23</v>
      </c>
      <c r="B225" s="19" t="s">
        <v>51</v>
      </c>
      <c r="C225" s="15">
        <v>63</v>
      </c>
      <c r="D225" s="6">
        <v>76</v>
      </c>
      <c r="E225" s="6">
        <v>8</v>
      </c>
      <c r="F225" s="6">
        <v>4</v>
      </c>
      <c r="G225" s="6">
        <v>17</v>
      </c>
      <c r="H225" s="6">
        <v>19</v>
      </c>
      <c r="I225" s="6">
        <v>10</v>
      </c>
      <c r="J225" s="6">
        <v>5</v>
      </c>
      <c r="K225" s="6">
        <v>70</v>
      </c>
      <c r="L225" s="6">
        <v>21</v>
      </c>
      <c r="M225" s="6">
        <v>30</v>
      </c>
      <c r="N225" s="6">
        <v>51</v>
      </c>
      <c r="O225" s="7">
        <v>0.7285714285714285</v>
      </c>
      <c r="P225" s="6">
        <v>0</v>
      </c>
      <c r="Q225" s="15">
        <v>-10</v>
      </c>
    </row>
    <row r="226" spans="1:17" ht="12.75">
      <c r="A226" s="4" t="s">
        <v>24</v>
      </c>
      <c r="B226" s="19" t="s">
        <v>52</v>
      </c>
      <c r="C226" s="15">
        <v>57</v>
      </c>
      <c r="D226" s="6">
        <v>70</v>
      </c>
      <c r="E226" s="6">
        <v>5</v>
      </c>
      <c r="F226" s="6">
        <v>5</v>
      </c>
      <c r="G226" s="6">
        <v>19</v>
      </c>
      <c r="H226" s="6">
        <v>15</v>
      </c>
      <c r="I226" s="6">
        <v>13</v>
      </c>
      <c r="J226" s="6">
        <v>0</v>
      </c>
      <c r="K226" s="6">
        <v>61</v>
      </c>
      <c r="L226" s="6">
        <v>18</v>
      </c>
      <c r="M226" s="6">
        <v>29</v>
      </c>
      <c r="N226" s="6">
        <v>47</v>
      </c>
      <c r="O226" s="7">
        <v>0.7704918032786885</v>
      </c>
      <c r="P226" s="6">
        <v>0</v>
      </c>
      <c r="Q226" s="15">
        <v>-16</v>
      </c>
    </row>
    <row r="227" spans="1:17" ht="12.75">
      <c r="A227" s="4" t="s">
        <v>25</v>
      </c>
      <c r="B227" s="19" t="s">
        <v>48</v>
      </c>
      <c r="C227" s="15">
        <v>54</v>
      </c>
      <c r="D227" s="6">
        <v>72</v>
      </c>
      <c r="E227" s="6">
        <v>5</v>
      </c>
      <c r="F227" s="6">
        <v>4</v>
      </c>
      <c r="G227" s="6">
        <v>21</v>
      </c>
      <c r="H227" s="6">
        <v>10</v>
      </c>
      <c r="I227" s="6">
        <v>10</v>
      </c>
      <c r="J227" s="6">
        <v>4</v>
      </c>
      <c r="K227" s="6">
        <v>63</v>
      </c>
      <c r="L227" s="6">
        <v>21</v>
      </c>
      <c r="M227" s="6">
        <v>24</v>
      </c>
      <c r="N227" s="6">
        <v>45</v>
      </c>
      <c r="O227" s="7">
        <v>0.7142857142857143</v>
      </c>
      <c r="P227" s="6">
        <v>0</v>
      </c>
      <c r="Q227" s="15">
        <v>-19</v>
      </c>
    </row>
    <row r="228" spans="1:17" ht="12.75">
      <c r="A228" s="4" t="s">
        <v>26</v>
      </c>
      <c r="B228" s="19" t="s">
        <v>49</v>
      </c>
      <c r="C228" s="15">
        <v>47</v>
      </c>
      <c r="D228" s="26">
        <v>73</v>
      </c>
      <c r="E228" s="26">
        <v>4</v>
      </c>
      <c r="F228" s="26">
        <v>2</v>
      </c>
      <c r="G228" s="26">
        <v>20</v>
      </c>
      <c r="H228" s="26">
        <v>9</v>
      </c>
      <c r="I228" s="26">
        <v>10</v>
      </c>
      <c r="J228" s="26">
        <v>2</v>
      </c>
      <c r="K228" s="26">
        <v>65</v>
      </c>
      <c r="L228" s="26">
        <v>16</v>
      </c>
      <c r="M228" s="26">
        <v>25</v>
      </c>
      <c r="N228" s="6">
        <v>41</v>
      </c>
      <c r="O228" s="7">
        <v>0.6307692307692307</v>
      </c>
      <c r="P228" s="6">
        <v>0</v>
      </c>
      <c r="Q228" s="15">
        <v>-26</v>
      </c>
    </row>
    <row r="229" spans="1:17" ht="12.75">
      <c r="A229" s="4" t="s">
        <v>27</v>
      </c>
      <c r="B229" s="19" t="s">
        <v>72</v>
      </c>
      <c r="C229" s="15">
        <v>45</v>
      </c>
      <c r="D229" s="6">
        <v>68</v>
      </c>
      <c r="E229" s="6">
        <v>-1</v>
      </c>
      <c r="F229" s="6">
        <v>5</v>
      </c>
      <c r="G229" s="6">
        <v>26</v>
      </c>
      <c r="H229" s="6">
        <v>8</v>
      </c>
      <c r="I229" s="6">
        <v>7</v>
      </c>
      <c r="J229" s="6">
        <v>0</v>
      </c>
      <c r="K229" s="6">
        <v>59</v>
      </c>
      <c r="L229" s="6">
        <v>12</v>
      </c>
      <c r="M229" s="6">
        <v>29</v>
      </c>
      <c r="N229" s="6">
        <v>41</v>
      </c>
      <c r="O229" s="7">
        <v>0.6949152542372882</v>
      </c>
      <c r="P229" s="6">
        <v>0</v>
      </c>
      <c r="Q229" s="15">
        <v>-28</v>
      </c>
    </row>
    <row r="230" spans="1:17" ht="12.75">
      <c r="A230" s="4" t="s">
        <v>28</v>
      </c>
      <c r="B230" s="19" t="s">
        <v>53</v>
      </c>
      <c r="C230" s="15">
        <v>39</v>
      </c>
      <c r="D230" s="6">
        <v>73</v>
      </c>
      <c r="E230" s="6">
        <v>-4</v>
      </c>
      <c r="F230" s="6">
        <v>5</v>
      </c>
      <c r="G230" s="6">
        <v>18</v>
      </c>
      <c r="H230" s="6">
        <v>7</v>
      </c>
      <c r="I230" s="6">
        <v>11</v>
      </c>
      <c r="J230" s="6">
        <v>2</v>
      </c>
      <c r="K230" s="6">
        <v>66</v>
      </c>
      <c r="L230" s="6">
        <v>14</v>
      </c>
      <c r="M230" s="6">
        <v>24</v>
      </c>
      <c r="N230" s="6">
        <v>38</v>
      </c>
      <c r="O230" s="7">
        <v>0.5757575757575758</v>
      </c>
      <c r="P230" s="6">
        <v>0</v>
      </c>
      <c r="Q230" s="15">
        <v>-34</v>
      </c>
    </row>
    <row r="231" spans="5:8" ht="13.5" thickBot="1">
      <c r="E231" s="61"/>
      <c r="F231" s="62"/>
      <c r="G231" s="64"/>
      <c r="H231" s="63"/>
    </row>
    <row r="232" spans="1:17" ht="27.75">
      <c r="A232" s="118" t="s">
        <v>123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20"/>
    </row>
    <row r="233" spans="1:17" ht="12.75">
      <c r="A233" s="3"/>
      <c r="B233" s="3"/>
      <c r="C233" s="3"/>
      <c r="D233" s="3"/>
      <c r="E233" s="122" t="s">
        <v>1</v>
      </c>
      <c r="F233" s="122"/>
      <c r="G233" s="122"/>
      <c r="H233" s="122"/>
      <c r="I233" s="122"/>
      <c r="J233" s="122"/>
      <c r="K233" s="14"/>
      <c r="L233" s="1"/>
      <c r="M233" s="1"/>
      <c r="N233" s="1"/>
      <c r="O233" s="1"/>
      <c r="P233" s="1"/>
      <c r="Q233" s="1"/>
    </row>
    <row r="234" spans="1:17" ht="65.25" thickBot="1">
      <c r="A234" s="33" t="s">
        <v>2</v>
      </c>
      <c r="B234" s="33" t="s">
        <v>3</v>
      </c>
      <c r="C234" s="34" t="s">
        <v>1</v>
      </c>
      <c r="D234" s="35" t="s">
        <v>4</v>
      </c>
      <c r="E234" s="36" t="s">
        <v>5</v>
      </c>
      <c r="F234" s="36" t="s">
        <v>6</v>
      </c>
      <c r="G234" s="36" t="s">
        <v>7</v>
      </c>
      <c r="H234" s="36" t="s">
        <v>8</v>
      </c>
      <c r="I234" s="36" t="s">
        <v>9</v>
      </c>
      <c r="J234" s="36" t="s">
        <v>10</v>
      </c>
      <c r="K234" s="37" t="s">
        <v>11</v>
      </c>
      <c r="L234" s="37" t="s">
        <v>12</v>
      </c>
      <c r="M234" s="37" t="s">
        <v>13</v>
      </c>
      <c r="N234" s="37" t="s">
        <v>14</v>
      </c>
      <c r="O234" s="38" t="s">
        <v>15</v>
      </c>
      <c r="P234" s="38" t="s">
        <v>16</v>
      </c>
      <c r="Q234" s="39" t="s">
        <v>17</v>
      </c>
    </row>
    <row r="235" spans="1:17" ht="12.75">
      <c r="A235" s="23" t="s">
        <v>18</v>
      </c>
      <c r="B235" s="24" t="s">
        <v>50</v>
      </c>
      <c r="C235" s="31">
        <v>64</v>
      </c>
      <c r="D235" s="26">
        <v>73</v>
      </c>
      <c r="E235" s="26">
        <v>18</v>
      </c>
      <c r="F235" s="26">
        <v>2</v>
      </c>
      <c r="G235" s="26">
        <v>18</v>
      </c>
      <c r="H235" s="26">
        <v>16</v>
      </c>
      <c r="I235" s="26">
        <v>10</v>
      </c>
      <c r="J235" s="26">
        <v>0</v>
      </c>
      <c r="K235" s="26">
        <v>63</v>
      </c>
      <c r="L235" s="26">
        <v>16</v>
      </c>
      <c r="M235" s="26">
        <v>28</v>
      </c>
      <c r="N235" s="26">
        <v>44</v>
      </c>
      <c r="O235" s="27">
        <v>0.6984126984126984</v>
      </c>
      <c r="P235" s="26">
        <v>0</v>
      </c>
      <c r="Q235" s="32" t="s">
        <v>19</v>
      </c>
    </row>
    <row r="236" spans="1:17" ht="12.75">
      <c r="A236" s="4" t="s">
        <v>20</v>
      </c>
      <c r="B236" s="19" t="s">
        <v>53</v>
      </c>
      <c r="C236" s="15">
        <v>57</v>
      </c>
      <c r="D236" s="6">
        <v>74</v>
      </c>
      <c r="E236" s="6">
        <v>10</v>
      </c>
      <c r="F236" s="6">
        <v>9</v>
      </c>
      <c r="G236" s="6">
        <v>19</v>
      </c>
      <c r="H236" s="6">
        <v>9</v>
      </c>
      <c r="I236" s="6">
        <v>8</v>
      </c>
      <c r="J236" s="6">
        <v>2</v>
      </c>
      <c r="K236" s="6">
        <v>63</v>
      </c>
      <c r="L236" s="6">
        <v>16</v>
      </c>
      <c r="M236" s="6">
        <v>22</v>
      </c>
      <c r="N236" s="6">
        <v>38</v>
      </c>
      <c r="O236" s="7">
        <v>0.6031746031746031</v>
      </c>
      <c r="P236" s="6">
        <v>0</v>
      </c>
      <c r="Q236" s="15">
        <v>-7</v>
      </c>
    </row>
    <row r="237" spans="1:17" ht="12.75">
      <c r="A237" s="4" t="s">
        <v>21</v>
      </c>
      <c r="B237" s="19" t="s">
        <v>46</v>
      </c>
      <c r="C237" s="15">
        <v>54</v>
      </c>
      <c r="D237" s="6">
        <v>72</v>
      </c>
      <c r="E237" s="6">
        <v>5</v>
      </c>
      <c r="F237" s="6">
        <v>9</v>
      </c>
      <c r="G237" s="6">
        <v>16</v>
      </c>
      <c r="H237" s="6">
        <v>12</v>
      </c>
      <c r="I237" s="6">
        <v>8</v>
      </c>
      <c r="J237" s="6">
        <v>4</v>
      </c>
      <c r="K237" s="6">
        <v>64</v>
      </c>
      <c r="L237" s="6">
        <v>14</v>
      </c>
      <c r="M237" s="6">
        <v>26</v>
      </c>
      <c r="N237" s="6">
        <v>40</v>
      </c>
      <c r="O237" s="7">
        <v>0.625</v>
      </c>
      <c r="P237" s="6">
        <v>0</v>
      </c>
      <c r="Q237" s="15">
        <v>-10</v>
      </c>
    </row>
    <row r="238" spans="1:17" ht="12.75">
      <c r="A238" s="4" t="s">
        <v>22</v>
      </c>
      <c r="B238" s="19" t="s">
        <v>32</v>
      </c>
      <c r="C238" s="15">
        <v>53</v>
      </c>
      <c r="D238" s="6">
        <v>66</v>
      </c>
      <c r="E238" s="6">
        <v>5</v>
      </c>
      <c r="F238" s="6">
        <v>2</v>
      </c>
      <c r="G238" s="6">
        <v>17</v>
      </c>
      <c r="H238" s="6">
        <v>8</v>
      </c>
      <c r="I238" s="6">
        <v>13</v>
      </c>
      <c r="J238" s="6">
        <v>8</v>
      </c>
      <c r="K238" s="6">
        <v>60</v>
      </c>
      <c r="L238" s="6">
        <v>24</v>
      </c>
      <c r="M238" s="6">
        <v>22</v>
      </c>
      <c r="N238" s="6">
        <v>46</v>
      </c>
      <c r="O238" s="7">
        <v>0.7666666666666667</v>
      </c>
      <c r="P238" s="6">
        <v>0</v>
      </c>
      <c r="Q238" s="15">
        <v>-11</v>
      </c>
    </row>
    <row r="239" spans="1:17" ht="12.75">
      <c r="A239" s="4" t="s">
        <v>23</v>
      </c>
      <c r="B239" s="19" t="s">
        <v>47</v>
      </c>
      <c r="C239" s="15">
        <v>48</v>
      </c>
      <c r="D239" s="6">
        <v>63</v>
      </c>
      <c r="E239" s="6">
        <v>-3</v>
      </c>
      <c r="F239" s="6">
        <v>5</v>
      </c>
      <c r="G239" s="6">
        <v>27</v>
      </c>
      <c r="H239" s="6">
        <v>10</v>
      </c>
      <c r="I239" s="6">
        <v>8</v>
      </c>
      <c r="J239" s="6">
        <v>1</v>
      </c>
      <c r="K239" s="6">
        <v>53</v>
      </c>
      <c r="L239" s="6">
        <v>13</v>
      </c>
      <c r="M239" s="6">
        <v>33</v>
      </c>
      <c r="N239" s="6">
        <v>46</v>
      </c>
      <c r="O239" s="7">
        <v>0.8679245283018868</v>
      </c>
      <c r="P239" s="6">
        <v>0</v>
      </c>
      <c r="Q239" s="15">
        <v>-14</v>
      </c>
    </row>
    <row r="240" spans="1:17" ht="12.75">
      <c r="A240" s="4" t="s">
        <v>24</v>
      </c>
      <c r="B240" s="19" t="s">
        <v>49</v>
      </c>
      <c r="C240" s="15">
        <v>46</v>
      </c>
      <c r="D240" s="6">
        <v>62</v>
      </c>
      <c r="E240" s="6">
        <v>5</v>
      </c>
      <c r="F240" s="6">
        <v>7</v>
      </c>
      <c r="G240" s="6">
        <v>19</v>
      </c>
      <c r="H240" s="6">
        <v>9</v>
      </c>
      <c r="I240" s="6">
        <v>4</v>
      </c>
      <c r="J240" s="6">
        <v>2</v>
      </c>
      <c r="K240" s="6">
        <v>52</v>
      </c>
      <c r="L240" s="6">
        <v>18</v>
      </c>
      <c r="M240" s="6">
        <v>16</v>
      </c>
      <c r="N240" s="6">
        <v>34</v>
      </c>
      <c r="O240" s="7">
        <v>0.6538461538461539</v>
      </c>
      <c r="P240" s="6">
        <v>0</v>
      </c>
      <c r="Q240" s="15">
        <v>-16</v>
      </c>
    </row>
    <row r="241" spans="1:17" ht="12.75">
      <c r="A241" s="4" t="s">
        <v>25</v>
      </c>
      <c r="B241" s="19" t="s">
        <v>72</v>
      </c>
      <c r="C241" s="15">
        <v>45</v>
      </c>
      <c r="D241" s="6">
        <v>61</v>
      </c>
      <c r="E241" s="6">
        <v>14</v>
      </c>
      <c r="F241" s="6">
        <v>3</v>
      </c>
      <c r="G241" s="6">
        <v>13</v>
      </c>
      <c r="H241" s="6">
        <v>10</v>
      </c>
      <c r="I241" s="6">
        <v>5</v>
      </c>
      <c r="J241" s="6">
        <v>0</v>
      </c>
      <c r="K241" s="6">
        <v>54</v>
      </c>
      <c r="L241" s="6">
        <v>11</v>
      </c>
      <c r="M241" s="6">
        <v>17</v>
      </c>
      <c r="N241" s="6">
        <v>28</v>
      </c>
      <c r="O241" s="7">
        <v>0.5185185185185185</v>
      </c>
      <c r="P241" s="6">
        <v>0</v>
      </c>
      <c r="Q241" s="15">
        <v>-20</v>
      </c>
    </row>
    <row r="242" spans="1:17" ht="12.75">
      <c r="A242" s="4" t="s">
        <v>26</v>
      </c>
      <c r="B242" s="19" t="s">
        <v>52</v>
      </c>
      <c r="C242" s="15">
        <v>44</v>
      </c>
      <c r="D242" s="26">
        <v>64</v>
      </c>
      <c r="E242" s="26">
        <v>-4</v>
      </c>
      <c r="F242" s="26">
        <v>4</v>
      </c>
      <c r="G242" s="26">
        <v>11</v>
      </c>
      <c r="H242" s="26">
        <v>14</v>
      </c>
      <c r="I242" s="26">
        <v>16</v>
      </c>
      <c r="J242" s="26">
        <v>3</v>
      </c>
      <c r="K242" s="26">
        <v>57</v>
      </c>
      <c r="L242" s="26">
        <v>16</v>
      </c>
      <c r="M242" s="26">
        <v>28</v>
      </c>
      <c r="N242" s="6">
        <v>44</v>
      </c>
      <c r="O242" s="7">
        <v>0.7719298245614035</v>
      </c>
      <c r="P242" s="6">
        <v>0</v>
      </c>
      <c r="Q242" s="15">
        <v>-20</v>
      </c>
    </row>
    <row r="243" spans="1:17" ht="12.75">
      <c r="A243" s="4" t="s">
        <v>27</v>
      </c>
      <c r="B243" s="19" t="s">
        <v>51</v>
      </c>
      <c r="C243" s="15">
        <v>42</v>
      </c>
      <c r="D243" s="6">
        <v>67</v>
      </c>
      <c r="E243" s="6">
        <v>1</v>
      </c>
      <c r="F243" s="6">
        <v>8</v>
      </c>
      <c r="G243" s="6">
        <v>14</v>
      </c>
      <c r="H243" s="6">
        <v>10</v>
      </c>
      <c r="I243" s="6">
        <v>8</v>
      </c>
      <c r="J243" s="6">
        <v>1</v>
      </c>
      <c r="K243" s="6">
        <v>58</v>
      </c>
      <c r="L243" s="6">
        <v>11</v>
      </c>
      <c r="M243" s="6">
        <v>22</v>
      </c>
      <c r="N243" s="6">
        <v>33</v>
      </c>
      <c r="O243" s="7">
        <v>0.5689655172413793</v>
      </c>
      <c r="P243" s="6">
        <v>0</v>
      </c>
      <c r="Q243" s="15">
        <v>-23</v>
      </c>
    </row>
    <row r="244" spans="1:17" ht="12.75">
      <c r="A244" s="4" t="s">
        <v>28</v>
      </c>
      <c r="B244" s="19" t="s">
        <v>48</v>
      </c>
      <c r="C244" s="15">
        <v>31</v>
      </c>
      <c r="D244" s="6">
        <v>68</v>
      </c>
      <c r="E244" s="6">
        <v>-8</v>
      </c>
      <c r="F244" s="6">
        <v>12</v>
      </c>
      <c r="G244" s="6">
        <v>11</v>
      </c>
      <c r="H244" s="6">
        <v>10</v>
      </c>
      <c r="I244" s="6">
        <v>5</v>
      </c>
      <c r="J244" s="6">
        <v>1</v>
      </c>
      <c r="K244" s="6">
        <v>60</v>
      </c>
      <c r="L244" s="6">
        <v>12</v>
      </c>
      <c r="M244" s="6">
        <v>15</v>
      </c>
      <c r="N244" s="6">
        <v>27</v>
      </c>
      <c r="O244" s="7">
        <v>0.45</v>
      </c>
      <c r="P244" s="6">
        <v>0</v>
      </c>
      <c r="Q244" s="15">
        <v>-33</v>
      </c>
    </row>
    <row r="245" spans="5:8" ht="13.5" thickBot="1">
      <c r="E245" s="61"/>
      <c r="F245" s="62"/>
      <c r="G245" s="64"/>
      <c r="H245" s="63"/>
    </row>
    <row r="246" spans="1:17" ht="27.75">
      <c r="A246" s="118" t="s">
        <v>121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20"/>
    </row>
    <row r="247" spans="1:17" ht="12.75">
      <c r="A247" s="3"/>
      <c r="B247" s="3"/>
      <c r="C247" s="3"/>
      <c r="D247" s="3"/>
      <c r="E247" s="122" t="s">
        <v>1</v>
      </c>
      <c r="F247" s="122"/>
      <c r="G247" s="122"/>
      <c r="H247" s="122"/>
      <c r="I247" s="122"/>
      <c r="J247" s="122"/>
      <c r="K247" s="14"/>
      <c r="L247" s="1"/>
      <c r="M247" s="1"/>
      <c r="N247" s="1"/>
      <c r="O247" s="1"/>
      <c r="P247" s="1"/>
      <c r="Q247" s="1"/>
    </row>
    <row r="248" spans="1:17" ht="65.25" thickBot="1">
      <c r="A248" s="33" t="s">
        <v>2</v>
      </c>
      <c r="B248" s="33" t="s">
        <v>3</v>
      </c>
      <c r="C248" s="34" t="s">
        <v>1</v>
      </c>
      <c r="D248" s="35" t="s">
        <v>4</v>
      </c>
      <c r="E248" s="36" t="s">
        <v>5</v>
      </c>
      <c r="F248" s="36" t="s">
        <v>6</v>
      </c>
      <c r="G248" s="36" t="s">
        <v>7</v>
      </c>
      <c r="H248" s="36" t="s">
        <v>8</v>
      </c>
      <c r="I248" s="36" t="s">
        <v>9</v>
      </c>
      <c r="J248" s="36" t="s">
        <v>10</v>
      </c>
      <c r="K248" s="37" t="s">
        <v>11</v>
      </c>
      <c r="L248" s="37" t="s">
        <v>12</v>
      </c>
      <c r="M248" s="37" t="s">
        <v>13</v>
      </c>
      <c r="N248" s="37" t="s">
        <v>14</v>
      </c>
      <c r="O248" s="38" t="s">
        <v>15</v>
      </c>
      <c r="P248" s="38" t="s">
        <v>16</v>
      </c>
      <c r="Q248" s="39" t="s">
        <v>17</v>
      </c>
    </row>
    <row r="249" spans="1:17" ht="12.75">
      <c r="A249" s="23" t="s">
        <v>18</v>
      </c>
      <c r="B249" s="24" t="s">
        <v>51</v>
      </c>
      <c r="C249" s="31">
        <v>67</v>
      </c>
      <c r="D249" s="26">
        <v>64</v>
      </c>
      <c r="E249" s="26">
        <v>11</v>
      </c>
      <c r="F249" s="26">
        <v>6</v>
      </c>
      <c r="G249" s="26">
        <v>21</v>
      </c>
      <c r="H249" s="26">
        <v>17</v>
      </c>
      <c r="I249" s="26">
        <v>10</v>
      </c>
      <c r="J249" s="26">
        <v>2</v>
      </c>
      <c r="K249" s="26">
        <v>56</v>
      </c>
      <c r="L249" s="26">
        <v>22</v>
      </c>
      <c r="M249" s="26">
        <v>28</v>
      </c>
      <c r="N249" s="26">
        <v>50</v>
      </c>
      <c r="O249" s="27">
        <v>0.8928571428571429</v>
      </c>
      <c r="P249" s="26">
        <v>0</v>
      </c>
      <c r="Q249" s="32" t="s">
        <v>19</v>
      </c>
    </row>
    <row r="250" spans="1:17" ht="12.75">
      <c r="A250" s="4" t="s">
        <v>20</v>
      </c>
      <c r="B250" s="19" t="s">
        <v>32</v>
      </c>
      <c r="C250" s="15">
        <v>59</v>
      </c>
      <c r="D250" s="6">
        <v>65</v>
      </c>
      <c r="E250" s="6">
        <v>5</v>
      </c>
      <c r="F250" s="6">
        <v>0</v>
      </c>
      <c r="G250" s="6">
        <v>23</v>
      </c>
      <c r="H250" s="6">
        <v>8</v>
      </c>
      <c r="I250" s="6">
        <v>17</v>
      </c>
      <c r="J250" s="6">
        <v>6</v>
      </c>
      <c r="K250" s="6">
        <v>60</v>
      </c>
      <c r="L250" s="6">
        <v>15</v>
      </c>
      <c r="M250" s="6">
        <v>39</v>
      </c>
      <c r="N250" s="6">
        <v>54</v>
      </c>
      <c r="O250" s="7">
        <v>0.9</v>
      </c>
      <c r="P250" s="6">
        <v>0</v>
      </c>
      <c r="Q250" s="15">
        <v>-8</v>
      </c>
    </row>
    <row r="251" spans="1:17" ht="12.75">
      <c r="A251" s="4" t="s">
        <v>21</v>
      </c>
      <c r="B251" s="19" t="s">
        <v>50</v>
      </c>
      <c r="C251" s="15">
        <v>58</v>
      </c>
      <c r="D251" s="6">
        <v>62</v>
      </c>
      <c r="E251" s="6">
        <v>7</v>
      </c>
      <c r="F251" s="6">
        <v>14</v>
      </c>
      <c r="G251" s="6">
        <v>15</v>
      </c>
      <c r="H251" s="6">
        <v>12</v>
      </c>
      <c r="I251" s="6">
        <v>10</v>
      </c>
      <c r="J251" s="6">
        <v>0</v>
      </c>
      <c r="K251" s="6">
        <v>54</v>
      </c>
      <c r="L251" s="6">
        <v>15</v>
      </c>
      <c r="M251" s="6">
        <v>22</v>
      </c>
      <c r="N251" s="6">
        <v>37</v>
      </c>
      <c r="O251" s="7">
        <v>0.6851851851851852</v>
      </c>
      <c r="P251" s="6">
        <v>0</v>
      </c>
      <c r="Q251" s="15">
        <v>-9</v>
      </c>
    </row>
    <row r="252" spans="1:17" ht="12.75">
      <c r="A252" s="4" t="s">
        <v>22</v>
      </c>
      <c r="B252" s="19" t="s">
        <v>49</v>
      </c>
      <c r="C252" s="15">
        <v>58</v>
      </c>
      <c r="D252" s="6">
        <v>65</v>
      </c>
      <c r="E252" s="6">
        <v>0</v>
      </c>
      <c r="F252" s="6">
        <v>4</v>
      </c>
      <c r="G252" s="6">
        <v>28</v>
      </c>
      <c r="H252" s="6">
        <v>18</v>
      </c>
      <c r="I252" s="6">
        <v>7</v>
      </c>
      <c r="J252" s="6">
        <v>1</v>
      </c>
      <c r="K252" s="6">
        <v>55</v>
      </c>
      <c r="L252" s="6">
        <v>19</v>
      </c>
      <c r="M252" s="6">
        <v>35</v>
      </c>
      <c r="N252" s="6">
        <v>54</v>
      </c>
      <c r="O252" s="7">
        <v>0.9818181818181818</v>
      </c>
      <c r="P252" s="6">
        <v>0</v>
      </c>
      <c r="Q252" s="15">
        <v>-9</v>
      </c>
    </row>
    <row r="253" spans="1:17" ht="12.75">
      <c r="A253" s="4" t="s">
        <v>23</v>
      </c>
      <c r="B253" s="19" t="s">
        <v>47</v>
      </c>
      <c r="C253" s="15">
        <v>57</v>
      </c>
      <c r="D253" s="6">
        <v>66</v>
      </c>
      <c r="E253" s="6">
        <v>8</v>
      </c>
      <c r="F253" s="6">
        <v>9</v>
      </c>
      <c r="G253" s="6">
        <v>27</v>
      </c>
      <c r="H253" s="6">
        <v>7</v>
      </c>
      <c r="I253" s="6">
        <v>5</v>
      </c>
      <c r="J253" s="6">
        <v>1</v>
      </c>
      <c r="K253" s="6">
        <v>58</v>
      </c>
      <c r="L253" s="6">
        <v>15</v>
      </c>
      <c r="M253" s="6">
        <v>25</v>
      </c>
      <c r="N253" s="6">
        <v>40</v>
      </c>
      <c r="O253" s="7">
        <v>0.6896551724137931</v>
      </c>
      <c r="P253" s="6">
        <v>0</v>
      </c>
      <c r="Q253" s="15">
        <v>-10</v>
      </c>
    </row>
    <row r="254" spans="1:17" ht="12.75">
      <c r="A254" s="4" t="s">
        <v>24</v>
      </c>
      <c r="B254" s="19" t="s">
        <v>72</v>
      </c>
      <c r="C254" s="15">
        <v>48</v>
      </c>
      <c r="D254" s="6">
        <v>63</v>
      </c>
      <c r="E254" s="6">
        <v>6</v>
      </c>
      <c r="F254" s="6">
        <v>5</v>
      </c>
      <c r="G254" s="6">
        <v>14</v>
      </c>
      <c r="H254" s="6">
        <v>9</v>
      </c>
      <c r="I254" s="6">
        <v>13</v>
      </c>
      <c r="J254" s="6">
        <v>1</v>
      </c>
      <c r="K254" s="6">
        <v>54</v>
      </c>
      <c r="L254" s="6">
        <v>14</v>
      </c>
      <c r="M254" s="6">
        <v>23</v>
      </c>
      <c r="N254" s="6">
        <v>37</v>
      </c>
      <c r="O254" s="7">
        <v>0.6851851851851852</v>
      </c>
      <c r="P254" s="6">
        <v>0</v>
      </c>
      <c r="Q254" s="15">
        <v>-19</v>
      </c>
    </row>
    <row r="255" spans="1:17" ht="12.75">
      <c r="A255" s="4" t="s">
        <v>25</v>
      </c>
      <c r="B255" s="19" t="s">
        <v>52</v>
      </c>
      <c r="C255" s="15">
        <v>45</v>
      </c>
      <c r="D255" s="6">
        <v>59</v>
      </c>
      <c r="E255" s="6">
        <v>14</v>
      </c>
      <c r="F255" s="6">
        <v>3</v>
      </c>
      <c r="G255" s="6">
        <v>8</v>
      </c>
      <c r="H255" s="6">
        <v>7</v>
      </c>
      <c r="I255" s="6">
        <v>8</v>
      </c>
      <c r="J255" s="6">
        <v>5</v>
      </c>
      <c r="K255" s="6">
        <v>52</v>
      </c>
      <c r="L255" s="6">
        <v>11</v>
      </c>
      <c r="M255" s="6">
        <v>17</v>
      </c>
      <c r="N255" s="6">
        <v>28</v>
      </c>
      <c r="O255" s="7">
        <v>0.5384615384615384</v>
      </c>
      <c r="P255" s="6">
        <v>0</v>
      </c>
      <c r="Q255" s="15">
        <v>-22</v>
      </c>
    </row>
    <row r="256" spans="1:17" ht="12.75">
      <c r="A256" s="4" t="s">
        <v>26</v>
      </c>
      <c r="B256" s="19" t="s">
        <v>48</v>
      </c>
      <c r="C256" s="15">
        <v>42</v>
      </c>
      <c r="D256" s="26">
        <v>65</v>
      </c>
      <c r="E256" s="26">
        <v>-5</v>
      </c>
      <c r="F256" s="26">
        <v>5</v>
      </c>
      <c r="G256" s="26">
        <v>17</v>
      </c>
      <c r="H256" s="26">
        <v>10</v>
      </c>
      <c r="I256" s="26">
        <v>14</v>
      </c>
      <c r="J256" s="26">
        <v>1</v>
      </c>
      <c r="K256" s="26">
        <v>58</v>
      </c>
      <c r="L256" s="26">
        <v>14</v>
      </c>
      <c r="M256" s="26">
        <v>28</v>
      </c>
      <c r="N256" s="6">
        <v>42</v>
      </c>
      <c r="O256" s="7">
        <v>0.7241379310344828</v>
      </c>
      <c r="P256" s="6">
        <v>0</v>
      </c>
      <c r="Q256" s="15">
        <v>-25</v>
      </c>
    </row>
    <row r="257" spans="1:17" ht="12.75">
      <c r="A257" s="4" t="s">
        <v>27</v>
      </c>
      <c r="B257" s="19" t="s">
        <v>53</v>
      </c>
      <c r="C257" s="15">
        <v>41</v>
      </c>
      <c r="D257" s="6">
        <v>59</v>
      </c>
      <c r="E257" s="6">
        <v>7</v>
      </c>
      <c r="F257" s="6">
        <v>9</v>
      </c>
      <c r="G257" s="6">
        <v>14</v>
      </c>
      <c r="H257" s="6">
        <v>7</v>
      </c>
      <c r="I257" s="6">
        <v>2</v>
      </c>
      <c r="J257" s="6">
        <v>2</v>
      </c>
      <c r="K257" s="6">
        <v>52</v>
      </c>
      <c r="L257" s="6">
        <v>6</v>
      </c>
      <c r="M257" s="6">
        <v>19</v>
      </c>
      <c r="N257" s="6">
        <v>25</v>
      </c>
      <c r="O257" s="7">
        <v>0.4807692307692308</v>
      </c>
      <c r="P257" s="6">
        <v>0</v>
      </c>
      <c r="Q257" s="15">
        <v>-26</v>
      </c>
    </row>
    <row r="258" spans="1:17" ht="12.75">
      <c r="A258" s="4" t="s">
        <v>28</v>
      </c>
      <c r="B258" s="19" t="s">
        <v>46</v>
      </c>
      <c r="C258" s="15">
        <v>29</v>
      </c>
      <c r="D258" s="6">
        <v>66</v>
      </c>
      <c r="E258" s="6">
        <v>-7</v>
      </c>
      <c r="F258" s="6">
        <v>3</v>
      </c>
      <c r="G258" s="6">
        <v>13</v>
      </c>
      <c r="H258" s="6">
        <v>8</v>
      </c>
      <c r="I258" s="6">
        <v>9</v>
      </c>
      <c r="J258" s="6">
        <v>3</v>
      </c>
      <c r="K258" s="6">
        <v>58</v>
      </c>
      <c r="L258" s="6">
        <v>10</v>
      </c>
      <c r="M258" s="6">
        <v>23</v>
      </c>
      <c r="N258" s="6">
        <v>33</v>
      </c>
      <c r="O258" s="7">
        <v>0.5689655172413793</v>
      </c>
      <c r="P258" s="6">
        <v>0</v>
      </c>
      <c r="Q258" s="15">
        <v>-38</v>
      </c>
    </row>
    <row r="259" spans="5:8" ht="13.5" thickBot="1">
      <c r="E259" s="61"/>
      <c r="F259" s="62"/>
      <c r="G259" s="64"/>
      <c r="H259" s="63"/>
    </row>
    <row r="260" spans="1:17" ht="27.75">
      <c r="A260" s="118" t="s">
        <v>120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20"/>
    </row>
    <row r="261" spans="1:17" ht="12.75">
      <c r="A261" s="3"/>
      <c r="B261" s="3"/>
      <c r="C261" s="3"/>
      <c r="D261" s="3"/>
      <c r="E261" s="122" t="s">
        <v>1</v>
      </c>
      <c r="F261" s="122"/>
      <c r="G261" s="122"/>
      <c r="H261" s="122"/>
      <c r="I261" s="122"/>
      <c r="J261" s="122"/>
      <c r="K261" s="14"/>
      <c r="L261" s="1"/>
      <c r="M261" s="1"/>
      <c r="N261" s="1"/>
      <c r="O261" s="1"/>
      <c r="P261" s="1"/>
      <c r="Q261" s="1"/>
    </row>
    <row r="262" spans="1:17" ht="65.25" thickBot="1">
      <c r="A262" s="33" t="s">
        <v>2</v>
      </c>
      <c r="B262" s="33" t="s">
        <v>3</v>
      </c>
      <c r="C262" s="34" t="s">
        <v>1</v>
      </c>
      <c r="D262" s="35" t="s">
        <v>4</v>
      </c>
      <c r="E262" s="36" t="s">
        <v>5</v>
      </c>
      <c r="F262" s="36" t="s">
        <v>6</v>
      </c>
      <c r="G262" s="36" t="s">
        <v>7</v>
      </c>
      <c r="H262" s="36" t="s">
        <v>8</v>
      </c>
      <c r="I262" s="36" t="s">
        <v>9</v>
      </c>
      <c r="J262" s="36" t="s">
        <v>10</v>
      </c>
      <c r="K262" s="37" t="s">
        <v>11</v>
      </c>
      <c r="L262" s="37" t="s">
        <v>12</v>
      </c>
      <c r="M262" s="37" t="s">
        <v>13</v>
      </c>
      <c r="N262" s="37" t="s">
        <v>14</v>
      </c>
      <c r="O262" s="38" t="s">
        <v>15</v>
      </c>
      <c r="P262" s="38" t="s">
        <v>16</v>
      </c>
      <c r="Q262" s="39" t="s">
        <v>17</v>
      </c>
    </row>
    <row r="263" spans="1:17" ht="12.75">
      <c r="A263" s="23" t="s">
        <v>18</v>
      </c>
      <c r="B263" s="24" t="s">
        <v>46</v>
      </c>
      <c r="C263" s="31">
        <v>71</v>
      </c>
      <c r="D263" s="26">
        <v>74</v>
      </c>
      <c r="E263" s="26">
        <v>-2</v>
      </c>
      <c r="F263" s="26">
        <v>10</v>
      </c>
      <c r="G263" s="26">
        <v>31</v>
      </c>
      <c r="H263" s="26">
        <v>8</v>
      </c>
      <c r="I263" s="26">
        <v>20</v>
      </c>
      <c r="J263" s="26">
        <v>4</v>
      </c>
      <c r="K263" s="26">
        <v>64</v>
      </c>
      <c r="L263" s="26">
        <v>20</v>
      </c>
      <c r="M263" s="26">
        <v>43</v>
      </c>
      <c r="N263" s="26">
        <v>63</v>
      </c>
      <c r="O263" s="27">
        <v>0.984375</v>
      </c>
      <c r="P263" s="26">
        <v>0</v>
      </c>
      <c r="Q263" s="32" t="s">
        <v>19</v>
      </c>
    </row>
    <row r="264" spans="1:17" ht="12.75">
      <c r="A264" s="4" t="s">
        <v>20</v>
      </c>
      <c r="B264" s="19" t="s">
        <v>53</v>
      </c>
      <c r="C264" s="15">
        <v>64</v>
      </c>
      <c r="D264" s="6">
        <v>61</v>
      </c>
      <c r="E264" s="6">
        <v>-1</v>
      </c>
      <c r="F264" s="6">
        <v>18</v>
      </c>
      <c r="G264" s="6">
        <v>23</v>
      </c>
      <c r="H264" s="6">
        <v>13</v>
      </c>
      <c r="I264" s="6">
        <v>11</v>
      </c>
      <c r="J264" s="6">
        <v>0</v>
      </c>
      <c r="K264" s="6">
        <v>53</v>
      </c>
      <c r="L264" s="6">
        <v>13</v>
      </c>
      <c r="M264" s="6">
        <v>34</v>
      </c>
      <c r="N264" s="6">
        <v>47</v>
      </c>
      <c r="O264" s="7">
        <v>0.8867924528301887</v>
      </c>
      <c r="P264" s="6">
        <v>0</v>
      </c>
      <c r="Q264" s="15">
        <v>-7</v>
      </c>
    </row>
    <row r="265" spans="1:17" ht="12.75">
      <c r="A265" s="4" t="s">
        <v>21</v>
      </c>
      <c r="B265" s="19" t="s">
        <v>32</v>
      </c>
      <c r="C265" s="15">
        <v>64</v>
      </c>
      <c r="D265" s="6">
        <v>66</v>
      </c>
      <c r="E265" s="6">
        <v>17</v>
      </c>
      <c r="F265" s="6">
        <v>6</v>
      </c>
      <c r="G265" s="6">
        <v>17</v>
      </c>
      <c r="H265" s="6">
        <v>10</v>
      </c>
      <c r="I265" s="6">
        <v>13</v>
      </c>
      <c r="J265" s="6">
        <v>1</v>
      </c>
      <c r="K265" s="6">
        <v>56</v>
      </c>
      <c r="L265" s="6">
        <v>19</v>
      </c>
      <c r="M265" s="6">
        <v>22</v>
      </c>
      <c r="N265" s="6">
        <v>41</v>
      </c>
      <c r="O265" s="7">
        <v>0.7321428571428571</v>
      </c>
      <c r="P265" s="6">
        <v>0</v>
      </c>
      <c r="Q265" s="15">
        <v>-7</v>
      </c>
    </row>
    <row r="266" spans="1:17" ht="12.75">
      <c r="A266" s="4" t="s">
        <v>22</v>
      </c>
      <c r="B266" s="19" t="s">
        <v>52</v>
      </c>
      <c r="C266" s="15">
        <v>49</v>
      </c>
      <c r="D266" s="6">
        <v>70</v>
      </c>
      <c r="E266" s="6">
        <v>7</v>
      </c>
      <c r="F266" s="6">
        <v>4</v>
      </c>
      <c r="G266" s="6">
        <v>12</v>
      </c>
      <c r="H266" s="6">
        <v>13</v>
      </c>
      <c r="I266" s="6">
        <v>9</v>
      </c>
      <c r="J266" s="6">
        <v>4</v>
      </c>
      <c r="K266" s="6">
        <v>63</v>
      </c>
      <c r="L266" s="6">
        <v>14</v>
      </c>
      <c r="M266" s="6">
        <v>24</v>
      </c>
      <c r="N266" s="6">
        <v>38</v>
      </c>
      <c r="O266" s="7">
        <v>0.6031746031746031</v>
      </c>
      <c r="P266" s="6">
        <v>0</v>
      </c>
      <c r="Q266" s="15">
        <v>-22</v>
      </c>
    </row>
    <row r="267" spans="1:17" ht="12.75">
      <c r="A267" s="4" t="s">
        <v>23</v>
      </c>
      <c r="B267" s="19" t="s">
        <v>48</v>
      </c>
      <c r="C267" s="15">
        <v>45</v>
      </c>
      <c r="D267" s="6">
        <v>66</v>
      </c>
      <c r="E267" s="6">
        <v>2</v>
      </c>
      <c r="F267" s="6">
        <v>4</v>
      </c>
      <c r="G267" s="6">
        <v>15</v>
      </c>
      <c r="H267" s="6">
        <v>10</v>
      </c>
      <c r="I267" s="6">
        <v>6</v>
      </c>
      <c r="J267" s="6">
        <v>8</v>
      </c>
      <c r="K267" s="6">
        <v>59</v>
      </c>
      <c r="L267" s="6">
        <v>13</v>
      </c>
      <c r="M267" s="6">
        <v>26</v>
      </c>
      <c r="N267" s="6">
        <v>39</v>
      </c>
      <c r="O267" s="7">
        <v>0.6610169491525424</v>
      </c>
      <c r="P267" s="6">
        <v>0</v>
      </c>
      <c r="Q267" s="15">
        <v>-26</v>
      </c>
    </row>
    <row r="268" spans="1:17" ht="12.75">
      <c r="A268" s="4" t="s">
        <v>24</v>
      </c>
      <c r="B268" s="19" t="s">
        <v>47</v>
      </c>
      <c r="C268" s="15">
        <v>44</v>
      </c>
      <c r="D268" s="6">
        <v>67</v>
      </c>
      <c r="E268" s="6">
        <v>2</v>
      </c>
      <c r="F268" s="6">
        <v>8</v>
      </c>
      <c r="G268" s="6">
        <v>13</v>
      </c>
      <c r="H268" s="6">
        <v>7</v>
      </c>
      <c r="I268" s="6">
        <v>8</v>
      </c>
      <c r="J268" s="6">
        <v>6</v>
      </c>
      <c r="K268" s="6">
        <v>57</v>
      </c>
      <c r="L268" s="6">
        <v>9</v>
      </c>
      <c r="M268" s="6">
        <v>23</v>
      </c>
      <c r="N268" s="6">
        <v>32</v>
      </c>
      <c r="O268" s="7">
        <v>0.5614035087719298</v>
      </c>
      <c r="P268" s="6">
        <v>0</v>
      </c>
      <c r="Q268" s="15">
        <v>-27</v>
      </c>
    </row>
    <row r="269" spans="1:17" ht="12.75">
      <c r="A269" s="4" t="s">
        <v>25</v>
      </c>
      <c r="B269" s="19" t="s">
        <v>51</v>
      </c>
      <c r="C269" s="15">
        <v>43</v>
      </c>
      <c r="D269" s="6">
        <v>52</v>
      </c>
      <c r="E269" s="6">
        <v>6</v>
      </c>
      <c r="F269" s="6">
        <v>8</v>
      </c>
      <c r="G269" s="6">
        <v>12</v>
      </c>
      <c r="H269" s="6">
        <v>6</v>
      </c>
      <c r="I269" s="6">
        <v>11</v>
      </c>
      <c r="J269" s="6">
        <v>0</v>
      </c>
      <c r="K269" s="6">
        <v>46</v>
      </c>
      <c r="L269" s="6">
        <v>10</v>
      </c>
      <c r="M269" s="6">
        <v>19</v>
      </c>
      <c r="N269" s="6">
        <v>29</v>
      </c>
      <c r="O269" s="7">
        <v>0.6304347826086957</v>
      </c>
      <c r="P269" s="6">
        <v>0</v>
      </c>
      <c r="Q269" s="15">
        <v>-28</v>
      </c>
    </row>
    <row r="270" spans="1:17" ht="12.75">
      <c r="A270" s="4" t="s">
        <v>26</v>
      </c>
      <c r="B270" s="19" t="s">
        <v>72</v>
      </c>
      <c r="C270" s="15">
        <v>42</v>
      </c>
      <c r="D270" s="26">
        <v>63</v>
      </c>
      <c r="E270" s="26">
        <v>7</v>
      </c>
      <c r="F270" s="26">
        <v>5</v>
      </c>
      <c r="G270" s="26">
        <v>11</v>
      </c>
      <c r="H270" s="26">
        <v>8</v>
      </c>
      <c r="I270" s="26">
        <v>10</v>
      </c>
      <c r="J270" s="26">
        <v>1</v>
      </c>
      <c r="K270" s="26">
        <v>56</v>
      </c>
      <c r="L270" s="26">
        <v>12</v>
      </c>
      <c r="M270" s="26">
        <v>18</v>
      </c>
      <c r="N270" s="6">
        <v>30</v>
      </c>
      <c r="O270" s="7">
        <v>0.5357142857142857</v>
      </c>
      <c r="P270" s="6">
        <v>0</v>
      </c>
      <c r="Q270" s="15">
        <v>-29</v>
      </c>
    </row>
    <row r="271" spans="1:17" ht="12.75">
      <c r="A271" s="4" t="s">
        <v>27</v>
      </c>
      <c r="B271" s="19" t="s">
        <v>49</v>
      </c>
      <c r="C271" s="15">
        <v>42</v>
      </c>
      <c r="D271" s="6">
        <v>67</v>
      </c>
      <c r="E271" s="6">
        <v>-3</v>
      </c>
      <c r="F271" s="6">
        <v>6</v>
      </c>
      <c r="G271" s="6">
        <v>21</v>
      </c>
      <c r="H271" s="6">
        <v>9</v>
      </c>
      <c r="I271" s="6">
        <v>7</v>
      </c>
      <c r="J271" s="6">
        <v>2</v>
      </c>
      <c r="K271" s="6">
        <v>60</v>
      </c>
      <c r="L271" s="6">
        <v>15</v>
      </c>
      <c r="M271" s="6">
        <v>24</v>
      </c>
      <c r="N271" s="6">
        <v>39</v>
      </c>
      <c r="O271" s="7">
        <v>0.65</v>
      </c>
      <c r="P271" s="6">
        <v>0</v>
      </c>
      <c r="Q271" s="15">
        <v>-29</v>
      </c>
    </row>
    <row r="272" spans="1:17" ht="12.75">
      <c r="A272" s="4" t="s">
        <v>28</v>
      </c>
      <c r="B272" s="19" t="s">
        <v>50</v>
      </c>
      <c r="C272" s="15">
        <v>23</v>
      </c>
      <c r="D272" s="6">
        <v>61</v>
      </c>
      <c r="E272" s="6">
        <v>-5</v>
      </c>
      <c r="F272" s="6">
        <v>2</v>
      </c>
      <c r="G272" s="6">
        <v>13</v>
      </c>
      <c r="H272" s="6">
        <v>7</v>
      </c>
      <c r="I272" s="6">
        <v>5</v>
      </c>
      <c r="J272" s="6">
        <v>1</v>
      </c>
      <c r="K272" s="6">
        <v>52</v>
      </c>
      <c r="L272" s="6">
        <v>13</v>
      </c>
      <c r="M272" s="6">
        <v>13</v>
      </c>
      <c r="N272" s="6">
        <v>26</v>
      </c>
      <c r="O272" s="7">
        <v>0.5</v>
      </c>
      <c r="P272" s="6">
        <v>0</v>
      </c>
      <c r="Q272" s="15">
        <v>-48</v>
      </c>
    </row>
    <row r="273" spans="5:8" ht="13.5" thickBot="1">
      <c r="E273" s="61"/>
      <c r="F273" s="62"/>
      <c r="G273" s="64"/>
      <c r="H273" s="63"/>
    </row>
    <row r="274" spans="1:17" ht="27.75">
      <c r="A274" s="118" t="s">
        <v>115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20"/>
    </row>
    <row r="275" spans="1:17" ht="12.75">
      <c r="A275" s="3"/>
      <c r="B275" s="3"/>
      <c r="C275" s="3"/>
      <c r="D275" s="3"/>
      <c r="E275" s="122" t="s">
        <v>1</v>
      </c>
      <c r="F275" s="122"/>
      <c r="G275" s="122"/>
      <c r="H275" s="122"/>
      <c r="I275" s="122"/>
      <c r="J275" s="122"/>
      <c r="K275" s="14"/>
      <c r="L275" s="1"/>
      <c r="M275" s="1"/>
      <c r="N275" s="1"/>
      <c r="O275" s="1"/>
      <c r="P275" s="1"/>
      <c r="Q275" s="1"/>
    </row>
    <row r="276" spans="1:17" ht="65.25" thickBot="1">
      <c r="A276" s="33" t="s">
        <v>2</v>
      </c>
      <c r="B276" s="33" t="s">
        <v>3</v>
      </c>
      <c r="C276" s="34" t="s">
        <v>1</v>
      </c>
      <c r="D276" s="35" t="s">
        <v>4</v>
      </c>
      <c r="E276" s="36" t="s">
        <v>5</v>
      </c>
      <c r="F276" s="36" t="s">
        <v>6</v>
      </c>
      <c r="G276" s="36" t="s">
        <v>7</v>
      </c>
      <c r="H276" s="36" t="s">
        <v>8</v>
      </c>
      <c r="I276" s="36" t="s">
        <v>9</v>
      </c>
      <c r="J276" s="36" t="s">
        <v>10</v>
      </c>
      <c r="K276" s="37" t="s">
        <v>11</v>
      </c>
      <c r="L276" s="37" t="s">
        <v>12</v>
      </c>
      <c r="M276" s="37" t="s">
        <v>13</v>
      </c>
      <c r="N276" s="37" t="s">
        <v>14</v>
      </c>
      <c r="O276" s="38" t="s">
        <v>15</v>
      </c>
      <c r="P276" s="38" t="s">
        <v>16</v>
      </c>
      <c r="Q276" s="39" t="s">
        <v>17</v>
      </c>
    </row>
    <row r="277" spans="1:17" ht="12.75">
      <c r="A277" s="23" t="s">
        <v>18</v>
      </c>
      <c r="B277" s="24" t="s">
        <v>46</v>
      </c>
      <c r="C277" s="31">
        <v>59</v>
      </c>
      <c r="D277" s="26">
        <v>65</v>
      </c>
      <c r="E277" s="26">
        <v>11</v>
      </c>
      <c r="F277" s="26">
        <v>14</v>
      </c>
      <c r="G277" s="26">
        <v>17</v>
      </c>
      <c r="H277" s="26">
        <v>5</v>
      </c>
      <c r="I277" s="26">
        <v>10</v>
      </c>
      <c r="J277" s="26">
        <v>2</v>
      </c>
      <c r="K277" s="26">
        <v>56</v>
      </c>
      <c r="L277" s="26">
        <v>9</v>
      </c>
      <c r="M277" s="26">
        <v>25</v>
      </c>
      <c r="N277" s="26">
        <v>34</v>
      </c>
      <c r="O277" s="27">
        <v>0.6071428571428571</v>
      </c>
      <c r="P277" s="26">
        <v>0</v>
      </c>
      <c r="Q277" s="32" t="s">
        <v>19</v>
      </c>
    </row>
    <row r="278" spans="1:17" ht="12.75">
      <c r="A278" s="4" t="s">
        <v>20</v>
      </c>
      <c r="B278" s="19" t="s">
        <v>50</v>
      </c>
      <c r="C278" s="15">
        <v>59</v>
      </c>
      <c r="D278" s="6">
        <v>67</v>
      </c>
      <c r="E278" s="6">
        <v>9</v>
      </c>
      <c r="F278" s="6">
        <v>6</v>
      </c>
      <c r="G278" s="6">
        <v>16</v>
      </c>
      <c r="H278" s="6">
        <v>10</v>
      </c>
      <c r="I278" s="6">
        <v>14</v>
      </c>
      <c r="J278" s="6">
        <v>4</v>
      </c>
      <c r="K278" s="6">
        <v>57</v>
      </c>
      <c r="L278" s="6">
        <v>13</v>
      </c>
      <c r="M278" s="6">
        <v>27</v>
      </c>
      <c r="N278" s="6">
        <v>40</v>
      </c>
      <c r="O278" s="7">
        <v>0.7017543859649122</v>
      </c>
      <c r="P278" s="6">
        <v>0</v>
      </c>
      <c r="Q278" s="15">
        <v>0</v>
      </c>
    </row>
    <row r="279" spans="1:17" ht="12.75">
      <c r="A279" s="4" t="s">
        <v>21</v>
      </c>
      <c r="B279" s="19" t="s">
        <v>53</v>
      </c>
      <c r="C279" s="15">
        <v>55</v>
      </c>
      <c r="D279" s="6">
        <v>64</v>
      </c>
      <c r="E279" s="6">
        <v>7</v>
      </c>
      <c r="F279" s="6">
        <v>15</v>
      </c>
      <c r="G279" s="6">
        <v>12</v>
      </c>
      <c r="H279" s="6">
        <v>9</v>
      </c>
      <c r="I279" s="6">
        <v>8</v>
      </c>
      <c r="J279" s="6">
        <v>4</v>
      </c>
      <c r="K279" s="6">
        <v>56</v>
      </c>
      <c r="L279" s="6">
        <v>13</v>
      </c>
      <c r="M279" s="6">
        <v>20</v>
      </c>
      <c r="N279" s="6">
        <v>33</v>
      </c>
      <c r="O279" s="7">
        <v>0.5892857142857143</v>
      </c>
      <c r="P279" s="6">
        <v>0</v>
      </c>
      <c r="Q279" s="15">
        <v>-4</v>
      </c>
    </row>
    <row r="280" spans="1:17" ht="12.75">
      <c r="A280" s="4" t="s">
        <v>22</v>
      </c>
      <c r="B280" s="19" t="s">
        <v>52</v>
      </c>
      <c r="C280" s="15">
        <v>52</v>
      </c>
      <c r="D280" s="6">
        <v>60</v>
      </c>
      <c r="E280" s="6">
        <v>-2</v>
      </c>
      <c r="F280" s="6">
        <v>9</v>
      </c>
      <c r="G280" s="6">
        <v>14</v>
      </c>
      <c r="H280" s="6">
        <v>16</v>
      </c>
      <c r="I280" s="6">
        <v>8</v>
      </c>
      <c r="J280" s="6">
        <v>7</v>
      </c>
      <c r="K280" s="6">
        <v>53</v>
      </c>
      <c r="L280" s="6">
        <v>16</v>
      </c>
      <c r="M280" s="6">
        <v>29</v>
      </c>
      <c r="N280" s="6">
        <v>45</v>
      </c>
      <c r="O280" s="7">
        <v>0.8490566037735849</v>
      </c>
      <c r="P280" s="6">
        <v>0</v>
      </c>
      <c r="Q280" s="15">
        <v>-7</v>
      </c>
    </row>
    <row r="281" spans="1:17" ht="12.75">
      <c r="A281" s="4" t="s">
        <v>23</v>
      </c>
      <c r="B281" s="19" t="s">
        <v>48</v>
      </c>
      <c r="C281" s="15">
        <v>49</v>
      </c>
      <c r="D281" s="6">
        <v>60</v>
      </c>
      <c r="E281" s="6">
        <v>1</v>
      </c>
      <c r="F281" s="6">
        <v>8</v>
      </c>
      <c r="G281" s="6">
        <v>21</v>
      </c>
      <c r="H281" s="6">
        <v>9</v>
      </c>
      <c r="I281" s="6">
        <v>7</v>
      </c>
      <c r="J281" s="6">
        <v>3</v>
      </c>
      <c r="K281" s="6">
        <v>53</v>
      </c>
      <c r="L281" s="6">
        <v>18</v>
      </c>
      <c r="M281" s="6">
        <v>22</v>
      </c>
      <c r="N281" s="6">
        <v>40</v>
      </c>
      <c r="O281" s="7">
        <v>0.7547169811320755</v>
      </c>
      <c r="P281" s="6">
        <v>0</v>
      </c>
      <c r="Q281" s="15">
        <v>-10</v>
      </c>
    </row>
    <row r="282" spans="1:17" ht="12.75">
      <c r="A282" s="4" t="s">
        <v>24</v>
      </c>
      <c r="B282" s="19" t="s">
        <v>47</v>
      </c>
      <c r="C282" s="15">
        <v>49</v>
      </c>
      <c r="D282" s="6">
        <v>61</v>
      </c>
      <c r="E282" s="6">
        <v>4</v>
      </c>
      <c r="F282" s="6">
        <v>7</v>
      </c>
      <c r="G282" s="6">
        <v>22</v>
      </c>
      <c r="H282" s="6">
        <v>5</v>
      </c>
      <c r="I282" s="6">
        <v>8</v>
      </c>
      <c r="J282" s="6">
        <v>3</v>
      </c>
      <c r="K282" s="6">
        <v>52</v>
      </c>
      <c r="L282" s="6">
        <v>11</v>
      </c>
      <c r="M282" s="6">
        <v>24</v>
      </c>
      <c r="N282" s="6">
        <v>35</v>
      </c>
      <c r="O282" s="7">
        <v>0.6730769230769231</v>
      </c>
      <c r="P282" s="6">
        <v>0</v>
      </c>
      <c r="Q282" s="15">
        <v>-10</v>
      </c>
    </row>
    <row r="283" spans="1:17" ht="12.75">
      <c r="A283" s="4" t="s">
        <v>25</v>
      </c>
      <c r="B283" s="19" t="s">
        <v>32</v>
      </c>
      <c r="C283" s="15">
        <v>49</v>
      </c>
      <c r="D283" s="6">
        <v>61</v>
      </c>
      <c r="E283" s="6">
        <v>6</v>
      </c>
      <c r="F283" s="6">
        <v>4</v>
      </c>
      <c r="G283" s="6">
        <v>19</v>
      </c>
      <c r="H283" s="6">
        <v>7</v>
      </c>
      <c r="I283" s="6">
        <v>9</v>
      </c>
      <c r="J283" s="6">
        <v>4</v>
      </c>
      <c r="K283" s="6">
        <v>55</v>
      </c>
      <c r="L283" s="6">
        <v>13</v>
      </c>
      <c r="M283" s="6">
        <v>26</v>
      </c>
      <c r="N283" s="6">
        <v>39</v>
      </c>
      <c r="O283" s="7">
        <v>0.7090909090909091</v>
      </c>
      <c r="P283" s="6">
        <v>0</v>
      </c>
      <c r="Q283" s="15">
        <v>-10</v>
      </c>
    </row>
    <row r="284" spans="1:17" ht="12.75">
      <c r="A284" s="4" t="s">
        <v>26</v>
      </c>
      <c r="B284" s="19" t="s">
        <v>49</v>
      </c>
      <c r="C284" s="15">
        <v>44</v>
      </c>
      <c r="D284" s="26">
        <v>58</v>
      </c>
      <c r="E284" s="26">
        <v>9</v>
      </c>
      <c r="F284" s="26">
        <v>9</v>
      </c>
      <c r="G284" s="26">
        <v>13</v>
      </c>
      <c r="H284" s="26">
        <v>6</v>
      </c>
      <c r="I284" s="26">
        <v>5</v>
      </c>
      <c r="J284" s="26">
        <v>2</v>
      </c>
      <c r="K284" s="26">
        <v>50</v>
      </c>
      <c r="L284" s="26">
        <v>16</v>
      </c>
      <c r="M284" s="26">
        <v>10</v>
      </c>
      <c r="N284" s="6">
        <v>26</v>
      </c>
      <c r="O284" s="7">
        <v>0.52</v>
      </c>
      <c r="P284" s="6">
        <v>0</v>
      </c>
      <c r="Q284" s="15">
        <v>-15</v>
      </c>
    </row>
    <row r="285" spans="1:17" ht="12.75">
      <c r="A285" s="4" t="s">
        <v>27</v>
      </c>
      <c r="B285" s="19" t="s">
        <v>51</v>
      </c>
      <c r="C285" s="15">
        <v>42</v>
      </c>
      <c r="D285" s="6">
        <v>63</v>
      </c>
      <c r="E285" s="6">
        <v>1</v>
      </c>
      <c r="F285" s="6">
        <v>8</v>
      </c>
      <c r="G285" s="6">
        <v>16</v>
      </c>
      <c r="H285" s="6">
        <v>10</v>
      </c>
      <c r="I285" s="6">
        <v>7</v>
      </c>
      <c r="J285" s="6">
        <v>0</v>
      </c>
      <c r="K285" s="6">
        <v>56</v>
      </c>
      <c r="L285" s="6">
        <v>11</v>
      </c>
      <c r="M285" s="6">
        <v>22</v>
      </c>
      <c r="N285" s="6">
        <v>33</v>
      </c>
      <c r="O285" s="7">
        <v>0.5892857142857143</v>
      </c>
      <c r="P285" s="6">
        <v>0</v>
      </c>
      <c r="Q285" s="15">
        <v>-17</v>
      </c>
    </row>
    <row r="286" spans="1:17" ht="12.75">
      <c r="A286" s="4" t="s">
        <v>28</v>
      </c>
      <c r="B286" s="19" t="s">
        <v>72</v>
      </c>
      <c r="C286" s="15">
        <v>29</v>
      </c>
      <c r="D286" s="6">
        <v>62</v>
      </c>
      <c r="E286" s="6">
        <v>1</v>
      </c>
      <c r="F286" s="6">
        <v>3</v>
      </c>
      <c r="G286" s="6">
        <v>14</v>
      </c>
      <c r="H286" s="6">
        <v>6</v>
      </c>
      <c r="I286" s="6">
        <v>4</v>
      </c>
      <c r="J286" s="6">
        <v>1</v>
      </c>
      <c r="K286" s="6">
        <v>56</v>
      </c>
      <c r="L286" s="6">
        <v>16</v>
      </c>
      <c r="M286" s="6">
        <v>9</v>
      </c>
      <c r="N286" s="6">
        <v>25</v>
      </c>
      <c r="O286" s="7">
        <v>0.44642857142857145</v>
      </c>
      <c r="P286" s="6">
        <v>0</v>
      </c>
      <c r="Q286" s="15">
        <v>-30</v>
      </c>
    </row>
    <row r="287" ht="13.5" thickBot="1"/>
    <row r="288" spans="1:17" ht="27.75">
      <c r="A288" s="118" t="s">
        <v>114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20"/>
    </row>
    <row r="289" spans="1:17" ht="12.75">
      <c r="A289" s="3"/>
      <c r="B289" s="3"/>
      <c r="C289" s="3"/>
      <c r="D289" s="3"/>
      <c r="E289" s="122" t="s">
        <v>1</v>
      </c>
      <c r="F289" s="122"/>
      <c r="G289" s="122"/>
      <c r="H289" s="122"/>
      <c r="I289" s="122"/>
      <c r="J289" s="122"/>
      <c r="K289" s="14"/>
      <c r="L289" s="1"/>
      <c r="M289" s="1"/>
      <c r="N289" s="1"/>
      <c r="O289" s="1"/>
      <c r="P289" s="1"/>
      <c r="Q289" s="1"/>
    </row>
    <row r="290" spans="1:17" ht="65.25" thickBot="1">
      <c r="A290" s="33" t="s">
        <v>2</v>
      </c>
      <c r="B290" s="33" t="s">
        <v>3</v>
      </c>
      <c r="C290" s="34" t="s">
        <v>1</v>
      </c>
      <c r="D290" s="35" t="s">
        <v>4</v>
      </c>
      <c r="E290" s="36" t="s">
        <v>5</v>
      </c>
      <c r="F290" s="36" t="s">
        <v>6</v>
      </c>
      <c r="G290" s="36" t="s">
        <v>7</v>
      </c>
      <c r="H290" s="36" t="s">
        <v>8</v>
      </c>
      <c r="I290" s="36" t="s">
        <v>9</v>
      </c>
      <c r="J290" s="36" t="s">
        <v>10</v>
      </c>
      <c r="K290" s="37" t="s">
        <v>11</v>
      </c>
      <c r="L290" s="37" t="s">
        <v>12</v>
      </c>
      <c r="M290" s="37" t="s">
        <v>13</v>
      </c>
      <c r="N290" s="37" t="s">
        <v>14</v>
      </c>
      <c r="O290" s="38" t="s">
        <v>15</v>
      </c>
      <c r="P290" s="38" t="s">
        <v>16</v>
      </c>
      <c r="Q290" s="39" t="s">
        <v>17</v>
      </c>
    </row>
    <row r="291" spans="1:17" ht="12.75">
      <c r="A291" s="23" t="s">
        <v>18</v>
      </c>
      <c r="B291" s="24" t="s">
        <v>46</v>
      </c>
      <c r="C291" s="31">
        <v>67</v>
      </c>
      <c r="D291" s="26">
        <v>70</v>
      </c>
      <c r="E291" s="26">
        <v>12</v>
      </c>
      <c r="F291" s="26">
        <v>10</v>
      </c>
      <c r="G291" s="26">
        <v>31</v>
      </c>
      <c r="H291" s="26">
        <v>8</v>
      </c>
      <c r="I291" s="26">
        <v>4</v>
      </c>
      <c r="J291" s="26">
        <v>2</v>
      </c>
      <c r="K291" s="26">
        <v>61</v>
      </c>
      <c r="L291" s="26">
        <v>22</v>
      </c>
      <c r="M291" s="26">
        <v>23</v>
      </c>
      <c r="N291" s="26">
        <v>45</v>
      </c>
      <c r="O291" s="27">
        <v>0.7377049180327869</v>
      </c>
      <c r="P291" s="26">
        <v>0</v>
      </c>
      <c r="Q291" s="32" t="s">
        <v>19</v>
      </c>
    </row>
    <row r="292" spans="1:17" ht="12.75">
      <c r="A292" s="4" t="s">
        <v>20</v>
      </c>
      <c r="B292" s="19" t="s">
        <v>32</v>
      </c>
      <c r="C292" s="15">
        <v>60</v>
      </c>
      <c r="D292" s="6">
        <v>70</v>
      </c>
      <c r="E292" s="6">
        <v>8</v>
      </c>
      <c r="F292" s="6">
        <v>2</v>
      </c>
      <c r="G292" s="6">
        <v>25</v>
      </c>
      <c r="H292" s="6">
        <v>10</v>
      </c>
      <c r="I292" s="6">
        <v>10</v>
      </c>
      <c r="J292" s="6">
        <v>5</v>
      </c>
      <c r="K292" s="6">
        <v>62</v>
      </c>
      <c r="L292" s="6">
        <v>18</v>
      </c>
      <c r="M292" s="6">
        <v>32</v>
      </c>
      <c r="N292" s="6">
        <v>50</v>
      </c>
      <c r="O292" s="7">
        <v>0.8064516129032258</v>
      </c>
      <c r="P292" s="6">
        <v>0</v>
      </c>
      <c r="Q292" s="15">
        <v>-7</v>
      </c>
    </row>
    <row r="293" spans="1:17" ht="12.75">
      <c r="A293" s="4" t="s">
        <v>21</v>
      </c>
      <c r="B293" s="19" t="s">
        <v>52</v>
      </c>
      <c r="C293" s="15">
        <v>53</v>
      </c>
      <c r="D293" s="6">
        <v>67</v>
      </c>
      <c r="E293" s="6">
        <v>1</v>
      </c>
      <c r="F293" s="6">
        <v>9</v>
      </c>
      <c r="G293" s="6">
        <v>22</v>
      </c>
      <c r="H293" s="6">
        <v>8</v>
      </c>
      <c r="I293" s="6">
        <v>10</v>
      </c>
      <c r="J293" s="6">
        <v>3</v>
      </c>
      <c r="K293" s="6">
        <v>60</v>
      </c>
      <c r="L293" s="6">
        <v>19</v>
      </c>
      <c r="M293" s="6">
        <v>24</v>
      </c>
      <c r="N293" s="6">
        <v>43</v>
      </c>
      <c r="O293" s="7">
        <v>0.7166666666666667</v>
      </c>
      <c r="P293" s="6">
        <v>0</v>
      </c>
      <c r="Q293" s="15">
        <v>-14</v>
      </c>
    </row>
    <row r="294" spans="1:17" ht="12.75">
      <c r="A294" s="4" t="s">
        <v>22</v>
      </c>
      <c r="B294" s="19" t="s">
        <v>50</v>
      </c>
      <c r="C294" s="15">
        <v>51</v>
      </c>
      <c r="D294" s="6">
        <v>64</v>
      </c>
      <c r="E294" s="6">
        <v>6</v>
      </c>
      <c r="F294" s="6">
        <v>9</v>
      </c>
      <c r="G294" s="6">
        <v>16</v>
      </c>
      <c r="H294" s="6">
        <v>11</v>
      </c>
      <c r="I294" s="6">
        <v>7</v>
      </c>
      <c r="J294" s="6">
        <v>2</v>
      </c>
      <c r="K294" s="6">
        <v>55</v>
      </c>
      <c r="L294" s="6">
        <v>12</v>
      </c>
      <c r="M294" s="6">
        <v>24</v>
      </c>
      <c r="N294" s="6">
        <v>36</v>
      </c>
      <c r="O294" s="7">
        <v>0.6545454545454545</v>
      </c>
      <c r="P294" s="6">
        <v>0</v>
      </c>
      <c r="Q294" s="15">
        <v>-16</v>
      </c>
    </row>
    <row r="295" spans="1:17" ht="12.75">
      <c r="A295" s="4" t="s">
        <v>23</v>
      </c>
      <c r="B295" s="19" t="s">
        <v>51</v>
      </c>
      <c r="C295" s="15">
        <v>50</v>
      </c>
      <c r="D295" s="6">
        <v>62</v>
      </c>
      <c r="E295" s="6">
        <v>8</v>
      </c>
      <c r="F295" s="6">
        <v>8</v>
      </c>
      <c r="G295" s="6">
        <v>18</v>
      </c>
      <c r="H295" s="6">
        <v>12</v>
      </c>
      <c r="I295" s="6">
        <v>4</v>
      </c>
      <c r="J295" s="6">
        <v>0</v>
      </c>
      <c r="K295" s="6">
        <v>54</v>
      </c>
      <c r="L295" s="6">
        <v>11</v>
      </c>
      <c r="M295" s="6">
        <v>23</v>
      </c>
      <c r="N295" s="6">
        <v>34</v>
      </c>
      <c r="O295" s="7">
        <v>0.6296296296296297</v>
      </c>
      <c r="P295" s="6">
        <v>0</v>
      </c>
      <c r="Q295" s="15">
        <v>-17</v>
      </c>
    </row>
    <row r="296" spans="1:17" ht="12.75">
      <c r="A296" s="4" t="s">
        <v>24</v>
      </c>
      <c r="B296" s="19" t="s">
        <v>47</v>
      </c>
      <c r="C296" s="15">
        <v>50</v>
      </c>
      <c r="D296" s="6">
        <v>68</v>
      </c>
      <c r="E296" s="6">
        <v>6</v>
      </c>
      <c r="F296" s="6">
        <v>6</v>
      </c>
      <c r="G296" s="6">
        <v>17</v>
      </c>
      <c r="H296" s="6">
        <v>11</v>
      </c>
      <c r="I296" s="6">
        <v>9</v>
      </c>
      <c r="J296" s="6">
        <v>1</v>
      </c>
      <c r="K296" s="6">
        <v>58</v>
      </c>
      <c r="L296" s="6">
        <v>13</v>
      </c>
      <c r="M296" s="6">
        <v>25</v>
      </c>
      <c r="N296" s="6">
        <v>38</v>
      </c>
      <c r="O296" s="7">
        <v>0.6551724137931034</v>
      </c>
      <c r="P296" s="6">
        <v>0</v>
      </c>
      <c r="Q296" s="15">
        <v>-17</v>
      </c>
    </row>
    <row r="297" spans="1:17" ht="12.75">
      <c r="A297" s="4" t="s">
        <v>25</v>
      </c>
      <c r="B297" s="19" t="s">
        <v>72</v>
      </c>
      <c r="C297" s="15">
        <v>47</v>
      </c>
      <c r="D297" s="6">
        <v>59</v>
      </c>
      <c r="E297" s="6">
        <v>10</v>
      </c>
      <c r="F297" s="6">
        <v>7</v>
      </c>
      <c r="G297" s="6">
        <v>11</v>
      </c>
      <c r="H297" s="6">
        <v>10</v>
      </c>
      <c r="I297" s="6">
        <v>9</v>
      </c>
      <c r="J297" s="6">
        <v>0</v>
      </c>
      <c r="K297" s="6">
        <v>51</v>
      </c>
      <c r="L297" s="6">
        <v>8</v>
      </c>
      <c r="M297" s="6">
        <v>22</v>
      </c>
      <c r="N297" s="6">
        <v>30</v>
      </c>
      <c r="O297" s="7">
        <v>0.5882352941176471</v>
      </c>
      <c r="P297" s="6">
        <v>0</v>
      </c>
      <c r="Q297" s="15">
        <v>-20</v>
      </c>
    </row>
    <row r="298" spans="1:17" ht="12.75">
      <c r="A298" s="4" t="s">
        <v>26</v>
      </c>
      <c r="B298" s="19" t="s">
        <v>48</v>
      </c>
      <c r="C298" s="15">
        <v>41</v>
      </c>
      <c r="D298" s="26">
        <v>63</v>
      </c>
      <c r="E298" s="26">
        <v>6</v>
      </c>
      <c r="F298" s="26">
        <v>2</v>
      </c>
      <c r="G298" s="26">
        <v>11</v>
      </c>
      <c r="H298" s="26">
        <v>11</v>
      </c>
      <c r="I298" s="26">
        <v>9</v>
      </c>
      <c r="J298" s="26">
        <v>2</v>
      </c>
      <c r="K298" s="26">
        <v>54</v>
      </c>
      <c r="L298" s="26">
        <v>10</v>
      </c>
      <c r="M298" s="26">
        <v>24</v>
      </c>
      <c r="N298" s="6">
        <v>34</v>
      </c>
      <c r="O298" s="7">
        <v>0.6296296296296297</v>
      </c>
      <c r="P298" s="6">
        <v>0</v>
      </c>
      <c r="Q298" s="15">
        <v>-26</v>
      </c>
    </row>
    <row r="299" spans="1:17" ht="12.75">
      <c r="A299" s="4" t="s">
        <v>27</v>
      </c>
      <c r="B299" s="19" t="s">
        <v>49</v>
      </c>
      <c r="C299" s="15">
        <v>39</v>
      </c>
      <c r="D299" s="6">
        <v>61</v>
      </c>
      <c r="E299" s="6">
        <v>2</v>
      </c>
      <c r="F299" s="6">
        <v>2</v>
      </c>
      <c r="G299" s="6">
        <v>18</v>
      </c>
      <c r="H299" s="6">
        <v>10</v>
      </c>
      <c r="I299" s="6">
        <v>5</v>
      </c>
      <c r="J299" s="6">
        <v>2</v>
      </c>
      <c r="K299" s="6">
        <v>58</v>
      </c>
      <c r="L299" s="6">
        <v>14</v>
      </c>
      <c r="M299" s="6">
        <v>21</v>
      </c>
      <c r="N299" s="6">
        <v>35</v>
      </c>
      <c r="O299" s="7">
        <v>0.603448275862069</v>
      </c>
      <c r="P299" s="6">
        <v>0</v>
      </c>
      <c r="Q299" s="15">
        <v>-28</v>
      </c>
    </row>
    <row r="300" spans="1:17" ht="12.75">
      <c r="A300" s="4" t="s">
        <v>28</v>
      </c>
      <c r="B300" s="19" t="s">
        <v>53</v>
      </c>
      <c r="C300" s="15">
        <v>38</v>
      </c>
      <c r="D300" s="6">
        <v>58</v>
      </c>
      <c r="E300" s="6">
        <v>4</v>
      </c>
      <c r="F300" s="6">
        <v>2</v>
      </c>
      <c r="G300" s="6">
        <v>11</v>
      </c>
      <c r="H300" s="6">
        <v>11</v>
      </c>
      <c r="I300" s="6">
        <v>10</v>
      </c>
      <c r="J300" s="6">
        <v>0</v>
      </c>
      <c r="K300" s="6">
        <v>51</v>
      </c>
      <c r="L300" s="6">
        <v>12</v>
      </c>
      <c r="M300" s="6">
        <v>20</v>
      </c>
      <c r="N300" s="6">
        <v>32</v>
      </c>
      <c r="O300" s="7">
        <v>0.6274509803921569</v>
      </c>
      <c r="P300" s="6">
        <v>0</v>
      </c>
      <c r="Q300" s="15">
        <v>-29</v>
      </c>
    </row>
    <row r="301" ht="13.5" thickBot="1"/>
    <row r="302" spans="1:17" ht="27.75">
      <c r="A302" s="118" t="s">
        <v>112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20"/>
    </row>
    <row r="303" spans="1:17" ht="12.75">
      <c r="A303" s="3"/>
      <c r="B303" s="3"/>
      <c r="C303" s="3"/>
      <c r="D303" s="3"/>
      <c r="E303" s="122" t="s">
        <v>1</v>
      </c>
      <c r="F303" s="122"/>
      <c r="G303" s="122"/>
      <c r="H303" s="122"/>
      <c r="I303" s="122"/>
      <c r="J303" s="122"/>
      <c r="K303" s="14"/>
      <c r="L303" s="1"/>
      <c r="M303" s="1"/>
      <c r="N303" s="1"/>
      <c r="O303" s="1"/>
      <c r="P303" s="1"/>
      <c r="Q303" s="1"/>
    </row>
    <row r="304" spans="1:17" ht="65.25" thickBot="1">
      <c r="A304" s="33" t="s">
        <v>2</v>
      </c>
      <c r="B304" s="33" t="s">
        <v>3</v>
      </c>
      <c r="C304" s="34" t="s">
        <v>1</v>
      </c>
      <c r="D304" s="35" t="s">
        <v>4</v>
      </c>
      <c r="E304" s="36" t="s">
        <v>5</v>
      </c>
      <c r="F304" s="36" t="s">
        <v>6</v>
      </c>
      <c r="G304" s="36" t="s">
        <v>7</v>
      </c>
      <c r="H304" s="36" t="s">
        <v>8</v>
      </c>
      <c r="I304" s="36" t="s">
        <v>9</v>
      </c>
      <c r="J304" s="36" t="s">
        <v>10</v>
      </c>
      <c r="K304" s="37" t="s">
        <v>11</v>
      </c>
      <c r="L304" s="37" t="s">
        <v>12</v>
      </c>
      <c r="M304" s="37" t="s">
        <v>13</v>
      </c>
      <c r="N304" s="37" t="s">
        <v>14</v>
      </c>
      <c r="O304" s="38" t="s">
        <v>15</v>
      </c>
      <c r="P304" s="38" t="s">
        <v>16</v>
      </c>
      <c r="Q304" s="39" t="s">
        <v>17</v>
      </c>
    </row>
    <row r="305" spans="1:17" ht="12.75">
      <c r="A305" s="23" t="s">
        <v>18</v>
      </c>
      <c r="B305" s="24" t="s">
        <v>32</v>
      </c>
      <c r="C305" s="31">
        <v>61</v>
      </c>
      <c r="D305" s="26">
        <v>76</v>
      </c>
      <c r="E305" s="26">
        <v>7</v>
      </c>
      <c r="F305" s="26">
        <v>10</v>
      </c>
      <c r="G305" s="26">
        <v>19</v>
      </c>
      <c r="H305" s="26">
        <v>11</v>
      </c>
      <c r="I305" s="26">
        <v>12</v>
      </c>
      <c r="J305" s="26">
        <v>2</v>
      </c>
      <c r="K305" s="26">
        <v>66</v>
      </c>
      <c r="L305" s="26">
        <v>16</v>
      </c>
      <c r="M305" s="26">
        <v>28</v>
      </c>
      <c r="N305" s="26">
        <v>44</v>
      </c>
      <c r="O305" s="27">
        <v>0.6666666666666666</v>
      </c>
      <c r="P305" s="26">
        <v>0</v>
      </c>
      <c r="Q305" s="32" t="s">
        <v>19</v>
      </c>
    </row>
    <row r="306" spans="1:17" ht="12.75">
      <c r="A306" s="4" t="s">
        <v>20</v>
      </c>
      <c r="B306" s="19" t="s">
        <v>48</v>
      </c>
      <c r="C306" s="15">
        <v>60</v>
      </c>
      <c r="D306" s="6">
        <v>69</v>
      </c>
      <c r="E306" s="6">
        <v>9</v>
      </c>
      <c r="F306" s="6">
        <v>9</v>
      </c>
      <c r="G306" s="6">
        <v>18</v>
      </c>
      <c r="H306" s="6">
        <v>12</v>
      </c>
      <c r="I306" s="6">
        <v>11</v>
      </c>
      <c r="J306" s="6">
        <v>1</v>
      </c>
      <c r="K306" s="6">
        <v>62</v>
      </c>
      <c r="L306" s="6">
        <v>15</v>
      </c>
      <c r="M306" s="6">
        <v>26</v>
      </c>
      <c r="N306" s="6">
        <v>41</v>
      </c>
      <c r="O306" s="7">
        <v>0.6612903225806451</v>
      </c>
      <c r="P306" s="6">
        <v>0</v>
      </c>
      <c r="Q306" s="15">
        <v>-1</v>
      </c>
    </row>
    <row r="307" spans="1:17" ht="12.75">
      <c r="A307" s="4" t="s">
        <v>21</v>
      </c>
      <c r="B307" s="19" t="s">
        <v>49</v>
      </c>
      <c r="C307" s="15">
        <v>59</v>
      </c>
      <c r="D307" s="6">
        <v>68</v>
      </c>
      <c r="E307" s="6">
        <v>12</v>
      </c>
      <c r="F307" s="6">
        <v>3</v>
      </c>
      <c r="G307" s="6">
        <v>18</v>
      </c>
      <c r="H307" s="6">
        <v>14</v>
      </c>
      <c r="I307" s="6">
        <v>11</v>
      </c>
      <c r="J307" s="6">
        <v>1</v>
      </c>
      <c r="K307" s="6">
        <v>59</v>
      </c>
      <c r="L307" s="6">
        <v>14</v>
      </c>
      <c r="M307" s="6">
        <v>30</v>
      </c>
      <c r="N307" s="6">
        <v>44</v>
      </c>
      <c r="O307" s="7">
        <v>0.7457627118644068</v>
      </c>
      <c r="P307" s="6">
        <v>0</v>
      </c>
      <c r="Q307" s="15">
        <v>-2</v>
      </c>
    </row>
    <row r="308" spans="1:17" ht="12.75">
      <c r="A308" s="4" t="s">
        <v>22</v>
      </c>
      <c r="B308" s="19" t="s">
        <v>51</v>
      </c>
      <c r="C308" s="15">
        <v>54</v>
      </c>
      <c r="D308" s="6">
        <v>62</v>
      </c>
      <c r="E308" s="6">
        <v>7</v>
      </c>
      <c r="F308" s="6">
        <v>8</v>
      </c>
      <c r="G308" s="6">
        <v>15</v>
      </c>
      <c r="H308" s="6">
        <v>17</v>
      </c>
      <c r="I308" s="6">
        <v>4</v>
      </c>
      <c r="J308" s="6">
        <v>3</v>
      </c>
      <c r="K308" s="6">
        <v>54</v>
      </c>
      <c r="L308" s="6">
        <v>14</v>
      </c>
      <c r="M308" s="6">
        <v>25</v>
      </c>
      <c r="N308" s="6">
        <v>39</v>
      </c>
      <c r="O308" s="7">
        <v>0.7222222222222222</v>
      </c>
      <c r="P308" s="6">
        <v>0</v>
      </c>
      <c r="Q308" s="15">
        <v>-7</v>
      </c>
    </row>
    <row r="309" spans="1:17" ht="12.75">
      <c r="A309" s="4" t="s">
        <v>23</v>
      </c>
      <c r="B309" s="19" t="s">
        <v>47</v>
      </c>
      <c r="C309" s="15">
        <v>54</v>
      </c>
      <c r="D309" s="6">
        <v>71</v>
      </c>
      <c r="E309" s="6">
        <v>6</v>
      </c>
      <c r="F309" s="6">
        <v>4</v>
      </c>
      <c r="G309" s="6">
        <v>25</v>
      </c>
      <c r="H309" s="6">
        <v>13</v>
      </c>
      <c r="I309" s="6">
        <v>6</v>
      </c>
      <c r="J309" s="6">
        <v>0</v>
      </c>
      <c r="K309" s="6">
        <v>63</v>
      </c>
      <c r="L309" s="6">
        <v>16</v>
      </c>
      <c r="M309" s="6">
        <v>28</v>
      </c>
      <c r="N309" s="6">
        <v>44</v>
      </c>
      <c r="O309" s="7">
        <v>0.6984126984126984</v>
      </c>
      <c r="P309" s="6">
        <v>0</v>
      </c>
      <c r="Q309" s="15">
        <v>-7</v>
      </c>
    </row>
    <row r="310" spans="1:17" ht="12.75">
      <c r="A310" s="4" t="s">
        <v>24</v>
      </c>
      <c r="B310" s="19" t="s">
        <v>46</v>
      </c>
      <c r="C310" s="15">
        <v>53</v>
      </c>
      <c r="D310" s="6">
        <v>77</v>
      </c>
      <c r="E310" s="6">
        <v>1</v>
      </c>
      <c r="F310" s="6">
        <v>8</v>
      </c>
      <c r="G310" s="6">
        <v>14</v>
      </c>
      <c r="H310" s="6">
        <v>17</v>
      </c>
      <c r="I310" s="6">
        <v>9</v>
      </c>
      <c r="J310" s="6">
        <v>4</v>
      </c>
      <c r="K310" s="6">
        <v>68</v>
      </c>
      <c r="L310" s="6">
        <v>17</v>
      </c>
      <c r="M310" s="6">
        <v>27</v>
      </c>
      <c r="N310" s="6">
        <v>44</v>
      </c>
      <c r="O310" s="7">
        <v>0.6470588235294118</v>
      </c>
      <c r="P310" s="6">
        <v>0</v>
      </c>
      <c r="Q310" s="15">
        <v>-8</v>
      </c>
    </row>
    <row r="311" spans="1:17" ht="12.75">
      <c r="A311" s="4" t="s">
        <v>25</v>
      </c>
      <c r="B311" s="19" t="s">
        <v>50</v>
      </c>
      <c r="C311" s="15">
        <v>51</v>
      </c>
      <c r="D311" s="6">
        <v>68</v>
      </c>
      <c r="E311" s="6">
        <v>-6</v>
      </c>
      <c r="F311" s="6">
        <v>11</v>
      </c>
      <c r="G311" s="6">
        <v>13</v>
      </c>
      <c r="H311" s="6">
        <v>13</v>
      </c>
      <c r="I311" s="6">
        <v>16</v>
      </c>
      <c r="J311" s="6">
        <v>4</v>
      </c>
      <c r="K311" s="6">
        <v>59</v>
      </c>
      <c r="L311" s="6">
        <v>17</v>
      </c>
      <c r="M311" s="6">
        <v>29</v>
      </c>
      <c r="N311" s="6">
        <v>46</v>
      </c>
      <c r="O311" s="7">
        <v>0.7796610169491526</v>
      </c>
      <c r="P311" s="6">
        <v>0</v>
      </c>
      <c r="Q311" s="15">
        <v>-10</v>
      </c>
    </row>
    <row r="312" spans="1:17" ht="12.75">
      <c r="A312" s="4" t="s">
        <v>26</v>
      </c>
      <c r="B312" s="19" t="s">
        <v>53</v>
      </c>
      <c r="C312" s="15">
        <v>50</v>
      </c>
      <c r="D312" s="26">
        <v>66</v>
      </c>
      <c r="E312" s="26">
        <v>3</v>
      </c>
      <c r="F312" s="26">
        <v>8</v>
      </c>
      <c r="G312" s="26">
        <v>20</v>
      </c>
      <c r="H312" s="26">
        <v>8</v>
      </c>
      <c r="I312" s="26">
        <v>11</v>
      </c>
      <c r="J312" s="26">
        <v>0</v>
      </c>
      <c r="K312" s="26">
        <v>58</v>
      </c>
      <c r="L312" s="26">
        <v>10</v>
      </c>
      <c r="M312" s="26">
        <v>29</v>
      </c>
      <c r="N312" s="6">
        <v>39</v>
      </c>
      <c r="O312" s="7">
        <v>0.6724137931034483</v>
      </c>
      <c r="P312" s="6">
        <v>0</v>
      </c>
      <c r="Q312" s="15">
        <v>-11</v>
      </c>
    </row>
    <row r="313" spans="1:17" ht="12.75">
      <c r="A313" s="4" t="s">
        <v>27</v>
      </c>
      <c r="B313" s="19" t="s">
        <v>52</v>
      </c>
      <c r="C313" s="15">
        <v>48</v>
      </c>
      <c r="D313" s="6">
        <v>68</v>
      </c>
      <c r="E313" s="6">
        <v>-2</v>
      </c>
      <c r="F313" s="6">
        <v>9</v>
      </c>
      <c r="G313" s="6">
        <v>24</v>
      </c>
      <c r="H313" s="6">
        <v>8</v>
      </c>
      <c r="I313" s="6">
        <v>8</v>
      </c>
      <c r="J313" s="6">
        <v>1</v>
      </c>
      <c r="K313" s="6">
        <v>60</v>
      </c>
      <c r="L313" s="6">
        <v>22</v>
      </c>
      <c r="M313" s="6">
        <v>19</v>
      </c>
      <c r="N313" s="6">
        <v>41</v>
      </c>
      <c r="O313" s="7">
        <v>0.6833333333333333</v>
      </c>
      <c r="P313" s="6">
        <v>0</v>
      </c>
      <c r="Q313" s="15">
        <v>-13</v>
      </c>
    </row>
    <row r="314" spans="1:17" ht="12.75">
      <c r="A314" s="4" t="s">
        <v>28</v>
      </c>
      <c r="B314" s="19" t="s">
        <v>72</v>
      </c>
      <c r="C314" s="15">
        <v>44</v>
      </c>
      <c r="D314" s="6">
        <v>56</v>
      </c>
      <c r="E314" s="6">
        <v>7</v>
      </c>
      <c r="F314" s="6">
        <v>3</v>
      </c>
      <c r="G314" s="6">
        <v>17</v>
      </c>
      <c r="H314" s="6">
        <v>6</v>
      </c>
      <c r="I314" s="6">
        <v>10</v>
      </c>
      <c r="J314" s="6">
        <v>1</v>
      </c>
      <c r="K314" s="6">
        <v>49</v>
      </c>
      <c r="L314" s="6">
        <v>14</v>
      </c>
      <c r="M314" s="6">
        <v>20</v>
      </c>
      <c r="N314" s="6">
        <v>34</v>
      </c>
      <c r="O314" s="7">
        <v>0.6938775510204082</v>
      </c>
      <c r="P314" s="6">
        <v>0</v>
      </c>
      <c r="Q314" s="15">
        <v>-17</v>
      </c>
    </row>
    <row r="315" spans="1:17" ht="12.75">
      <c r="A315" s="61"/>
      <c r="B315" s="62"/>
      <c r="C315" s="64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113"/>
      <c r="P315" s="63"/>
      <c r="Q315" s="112"/>
    </row>
    <row r="316" spans="1:17" ht="13.5" thickBot="1">
      <c r="A316" s="61"/>
      <c r="B316" s="62"/>
      <c r="C316" s="64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113"/>
      <c r="P316" s="63"/>
      <c r="Q316" s="112"/>
    </row>
    <row r="317" spans="1:17" ht="27.75">
      <c r="A317" s="118" t="s">
        <v>30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20"/>
    </row>
    <row r="318" spans="1:17" ht="12.75">
      <c r="A318" s="3"/>
      <c r="B318" s="3"/>
      <c r="C318" s="3"/>
      <c r="D318" s="3"/>
      <c r="E318" s="122" t="s">
        <v>1</v>
      </c>
      <c r="F318" s="122"/>
      <c r="G318" s="122"/>
      <c r="H318" s="122"/>
      <c r="I318" s="122"/>
      <c r="J318" s="122"/>
      <c r="K318" s="14"/>
      <c r="L318" s="1"/>
      <c r="M318" s="1"/>
      <c r="N318" s="1"/>
      <c r="O318" s="1"/>
      <c r="P318" s="1"/>
      <c r="Q318" s="1"/>
    </row>
    <row r="319" spans="1:17" ht="65.25" thickBot="1">
      <c r="A319" s="33" t="s">
        <v>2</v>
      </c>
      <c r="B319" s="33" t="s">
        <v>3</v>
      </c>
      <c r="C319" s="34" t="s">
        <v>1</v>
      </c>
      <c r="D319" s="35" t="s">
        <v>4</v>
      </c>
      <c r="E319" s="36" t="s">
        <v>5</v>
      </c>
      <c r="F319" s="36" t="s">
        <v>6</v>
      </c>
      <c r="G319" s="36" t="s">
        <v>7</v>
      </c>
      <c r="H319" s="36" t="s">
        <v>8</v>
      </c>
      <c r="I319" s="36" t="s">
        <v>9</v>
      </c>
      <c r="J319" s="36" t="s">
        <v>10</v>
      </c>
      <c r="K319" s="37" t="s">
        <v>11</v>
      </c>
      <c r="L319" s="37" t="s">
        <v>12</v>
      </c>
      <c r="M319" s="37" t="s">
        <v>13</v>
      </c>
      <c r="N319" s="37" t="s">
        <v>14</v>
      </c>
      <c r="O319" s="38" t="s">
        <v>15</v>
      </c>
      <c r="P319" s="38" t="s">
        <v>16</v>
      </c>
      <c r="Q319" s="39" t="s">
        <v>17</v>
      </c>
    </row>
    <row r="320" spans="1:17" ht="12.75">
      <c r="A320" s="23" t="s">
        <v>18</v>
      </c>
      <c r="B320" s="24" t="s">
        <v>53</v>
      </c>
      <c r="C320" s="31">
        <v>49</v>
      </c>
      <c r="D320" s="26">
        <v>38</v>
      </c>
      <c r="E320" s="26">
        <v>6</v>
      </c>
      <c r="F320" s="26">
        <v>9</v>
      </c>
      <c r="G320" s="26">
        <v>19</v>
      </c>
      <c r="H320" s="26">
        <v>7</v>
      </c>
      <c r="I320" s="26">
        <v>8</v>
      </c>
      <c r="J320" s="26">
        <v>0</v>
      </c>
      <c r="K320" s="26">
        <v>33</v>
      </c>
      <c r="L320" s="26">
        <v>9</v>
      </c>
      <c r="M320" s="26">
        <v>25</v>
      </c>
      <c r="N320" s="26">
        <v>34</v>
      </c>
      <c r="O320" s="27">
        <v>1.0303030303030303</v>
      </c>
      <c r="P320" s="26">
        <v>0</v>
      </c>
      <c r="Q320" s="32" t="s">
        <v>19</v>
      </c>
    </row>
    <row r="321" spans="1:17" ht="12.75">
      <c r="A321" s="4" t="s">
        <v>20</v>
      </c>
      <c r="B321" s="19" t="s">
        <v>47</v>
      </c>
      <c r="C321" s="15">
        <v>45</v>
      </c>
      <c r="D321" s="6">
        <v>40</v>
      </c>
      <c r="E321" s="6">
        <v>13</v>
      </c>
      <c r="F321" s="6">
        <v>9</v>
      </c>
      <c r="G321" s="6">
        <v>9</v>
      </c>
      <c r="H321" s="6">
        <v>4</v>
      </c>
      <c r="I321" s="6">
        <v>10</v>
      </c>
      <c r="J321" s="6">
        <v>0</v>
      </c>
      <c r="K321" s="6">
        <v>31</v>
      </c>
      <c r="L321" s="6">
        <v>15</v>
      </c>
      <c r="M321" s="6">
        <v>8</v>
      </c>
      <c r="N321" s="6">
        <v>23</v>
      </c>
      <c r="O321" s="7">
        <v>0.7419354838709677</v>
      </c>
      <c r="P321" s="6">
        <v>0</v>
      </c>
      <c r="Q321" s="15">
        <v>-4</v>
      </c>
    </row>
    <row r="322" spans="1:17" ht="12.75">
      <c r="A322" s="4" t="s">
        <v>21</v>
      </c>
      <c r="B322" s="19" t="s">
        <v>48</v>
      </c>
      <c r="C322" s="15">
        <v>44</v>
      </c>
      <c r="D322" s="6">
        <v>48</v>
      </c>
      <c r="E322" s="6">
        <v>3</v>
      </c>
      <c r="F322" s="6">
        <v>3</v>
      </c>
      <c r="G322" s="6">
        <v>15</v>
      </c>
      <c r="H322" s="6">
        <v>10</v>
      </c>
      <c r="I322" s="6">
        <v>11</v>
      </c>
      <c r="J322" s="6">
        <v>2</v>
      </c>
      <c r="K322" s="6">
        <v>41</v>
      </c>
      <c r="L322" s="6">
        <v>13</v>
      </c>
      <c r="M322" s="6">
        <v>25</v>
      </c>
      <c r="N322" s="6">
        <v>38</v>
      </c>
      <c r="O322" s="7">
        <v>0.926829268292683</v>
      </c>
      <c r="P322" s="6">
        <v>0</v>
      </c>
      <c r="Q322" s="15">
        <v>-5</v>
      </c>
    </row>
    <row r="323" spans="1:17" ht="12.75">
      <c r="A323" s="4" t="s">
        <v>22</v>
      </c>
      <c r="B323" s="19" t="s">
        <v>32</v>
      </c>
      <c r="C323" s="15">
        <v>35</v>
      </c>
      <c r="D323" s="6">
        <v>43</v>
      </c>
      <c r="E323" s="6">
        <v>9</v>
      </c>
      <c r="F323" s="6">
        <v>4</v>
      </c>
      <c r="G323" s="6">
        <v>9</v>
      </c>
      <c r="H323" s="6">
        <v>6</v>
      </c>
      <c r="I323" s="6">
        <v>6</v>
      </c>
      <c r="J323" s="6">
        <v>1</v>
      </c>
      <c r="K323" s="6">
        <v>39</v>
      </c>
      <c r="L323" s="6">
        <v>7</v>
      </c>
      <c r="M323" s="6">
        <v>15</v>
      </c>
      <c r="N323" s="6">
        <v>22</v>
      </c>
      <c r="O323" s="7">
        <v>0.5641025641025641</v>
      </c>
      <c r="P323" s="6">
        <v>0</v>
      </c>
      <c r="Q323" s="15">
        <v>-14</v>
      </c>
    </row>
    <row r="324" spans="1:17" ht="12.75">
      <c r="A324" s="4" t="s">
        <v>23</v>
      </c>
      <c r="B324" s="19" t="s">
        <v>52</v>
      </c>
      <c r="C324" s="15">
        <v>28</v>
      </c>
      <c r="D324" s="6">
        <v>46</v>
      </c>
      <c r="E324" s="6">
        <v>-2</v>
      </c>
      <c r="F324" s="6">
        <v>6</v>
      </c>
      <c r="G324" s="6">
        <v>14</v>
      </c>
      <c r="H324" s="6">
        <v>3</v>
      </c>
      <c r="I324" s="6">
        <v>5</v>
      </c>
      <c r="J324" s="6">
        <v>2</v>
      </c>
      <c r="K324" s="6">
        <v>40</v>
      </c>
      <c r="L324" s="6">
        <v>10</v>
      </c>
      <c r="M324" s="6">
        <v>14</v>
      </c>
      <c r="N324" s="6">
        <v>24</v>
      </c>
      <c r="O324" s="7">
        <v>0.6</v>
      </c>
      <c r="P324" s="6">
        <v>0</v>
      </c>
      <c r="Q324" s="15">
        <v>-21</v>
      </c>
    </row>
    <row r="325" spans="1:17" ht="12.75">
      <c r="A325" s="4" t="s">
        <v>24</v>
      </c>
      <c r="B325" s="19" t="s">
        <v>50</v>
      </c>
      <c r="C325" s="15">
        <v>27</v>
      </c>
      <c r="D325" s="6">
        <v>35</v>
      </c>
      <c r="E325" s="6">
        <v>-1</v>
      </c>
      <c r="F325" s="6">
        <v>2</v>
      </c>
      <c r="G325" s="6">
        <v>7</v>
      </c>
      <c r="H325" s="6">
        <v>13</v>
      </c>
      <c r="I325" s="6">
        <v>6</v>
      </c>
      <c r="J325" s="6">
        <v>0</v>
      </c>
      <c r="K325" s="6">
        <v>32</v>
      </c>
      <c r="L325" s="6">
        <v>9</v>
      </c>
      <c r="M325" s="6">
        <v>17</v>
      </c>
      <c r="N325" s="6">
        <v>26</v>
      </c>
      <c r="O325" s="7">
        <v>0.8125</v>
      </c>
      <c r="P325" s="6">
        <v>0</v>
      </c>
      <c r="Q325" s="15">
        <v>-22</v>
      </c>
    </row>
    <row r="326" spans="1:17" ht="12.75">
      <c r="A326" s="4" t="s">
        <v>25</v>
      </c>
      <c r="B326" s="19" t="s">
        <v>49</v>
      </c>
      <c r="C326" s="15">
        <v>23</v>
      </c>
      <c r="D326" s="6">
        <v>33</v>
      </c>
      <c r="E326" s="6">
        <v>7</v>
      </c>
      <c r="F326" s="6">
        <v>4</v>
      </c>
      <c r="G326" s="6">
        <v>9</v>
      </c>
      <c r="H326" s="6">
        <v>2</v>
      </c>
      <c r="I326" s="6">
        <v>1</v>
      </c>
      <c r="J326" s="6">
        <v>0</v>
      </c>
      <c r="K326" s="6">
        <v>29</v>
      </c>
      <c r="L326" s="6">
        <v>5</v>
      </c>
      <c r="M326" s="6">
        <v>7</v>
      </c>
      <c r="N326" s="6">
        <v>12</v>
      </c>
      <c r="O326" s="7">
        <v>0.41379310344827586</v>
      </c>
      <c r="P326" s="6">
        <v>0</v>
      </c>
      <c r="Q326" s="15">
        <v>-26</v>
      </c>
    </row>
    <row r="327" spans="1:17" ht="12.75">
      <c r="A327" s="4" t="s">
        <v>26</v>
      </c>
      <c r="B327" s="19" t="s">
        <v>51</v>
      </c>
      <c r="C327" s="15">
        <v>21</v>
      </c>
      <c r="D327" s="26">
        <v>40</v>
      </c>
      <c r="E327" s="26">
        <v>1</v>
      </c>
      <c r="F327" s="26">
        <v>5</v>
      </c>
      <c r="G327" s="26">
        <v>5</v>
      </c>
      <c r="H327" s="26">
        <v>7</v>
      </c>
      <c r="I327" s="26">
        <v>2</v>
      </c>
      <c r="J327" s="26">
        <v>1</v>
      </c>
      <c r="K327" s="26">
        <v>33</v>
      </c>
      <c r="L327" s="26">
        <v>4</v>
      </c>
      <c r="M327" s="26">
        <v>11</v>
      </c>
      <c r="N327" s="6">
        <v>15</v>
      </c>
      <c r="O327" s="7">
        <v>0.45454545454545453</v>
      </c>
      <c r="P327" s="6">
        <v>0</v>
      </c>
      <c r="Q327" s="15">
        <v>-28</v>
      </c>
    </row>
    <row r="328" spans="1:17" ht="12.75">
      <c r="A328" s="4" t="s">
        <v>27</v>
      </c>
      <c r="B328" s="19" t="s">
        <v>72</v>
      </c>
      <c r="C328" s="15">
        <v>20</v>
      </c>
      <c r="D328" s="6">
        <v>34</v>
      </c>
      <c r="E328" s="6">
        <v>2</v>
      </c>
      <c r="F328" s="6">
        <v>0</v>
      </c>
      <c r="G328" s="6">
        <v>9</v>
      </c>
      <c r="H328" s="6">
        <v>5</v>
      </c>
      <c r="I328" s="6">
        <v>3</v>
      </c>
      <c r="J328" s="6">
        <v>1</v>
      </c>
      <c r="K328" s="6">
        <v>29</v>
      </c>
      <c r="L328" s="6">
        <v>4</v>
      </c>
      <c r="M328" s="6">
        <v>14</v>
      </c>
      <c r="N328" s="6">
        <v>18</v>
      </c>
      <c r="O328" s="7">
        <v>0.6206896551724138</v>
      </c>
      <c r="P328" s="6">
        <v>0</v>
      </c>
      <c r="Q328" s="15">
        <v>-29</v>
      </c>
    </row>
    <row r="329" spans="1:17" ht="12.75">
      <c r="A329" s="4" t="s">
        <v>28</v>
      </c>
      <c r="B329" s="19" t="s">
        <v>46</v>
      </c>
      <c r="C329" s="15">
        <v>19</v>
      </c>
      <c r="D329" s="6">
        <v>44</v>
      </c>
      <c r="E329" s="6">
        <v>-6</v>
      </c>
      <c r="F329" s="6">
        <v>1</v>
      </c>
      <c r="G329" s="6">
        <v>12</v>
      </c>
      <c r="H329" s="6">
        <v>9</v>
      </c>
      <c r="I329" s="6">
        <v>3</v>
      </c>
      <c r="J329" s="6">
        <v>0</v>
      </c>
      <c r="K329" s="6">
        <v>39</v>
      </c>
      <c r="L329" s="6">
        <v>6</v>
      </c>
      <c r="M329" s="6">
        <v>18</v>
      </c>
      <c r="N329" s="6">
        <v>24</v>
      </c>
      <c r="O329" s="7">
        <v>0.6153846153846154</v>
      </c>
      <c r="P329" s="6">
        <v>0</v>
      </c>
      <c r="Q329" s="15">
        <v>-30</v>
      </c>
    </row>
  </sheetData>
  <mergeCells count="46">
    <mergeCell ref="A22:Q22"/>
    <mergeCell ref="E23:J23"/>
    <mergeCell ref="A36:Q36"/>
    <mergeCell ref="E37:J37"/>
    <mergeCell ref="A64:Q64"/>
    <mergeCell ref="E65:J65"/>
    <mergeCell ref="A50:Q50"/>
    <mergeCell ref="E51:J51"/>
    <mergeCell ref="A78:Q78"/>
    <mergeCell ref="E79:J79"/>
    <mergeCell ref="A92:Q92"/>
    <mergeCell ref="E93:J93"/>
    <mergeCell ref="A106:Q106"/>
    <mergeCell ref="E107:J107"/>
    <mergeCell ref="A190:Q190"/>
    <mergeCell ref="E191:J191"/>
    <mergeCell ref="A134:Q134"/>
    <mergeCell ref="E135:J135"/>
    <mergeCell ref="E7:I7"/>
    <mergeCell ref="F8:I8"/>
    <mergeCell ref="A176:Q176"/>
    <mergeCell ref="E177:J177"/>
    <mergeCell ref="A162:Q162"/>
    <mergeCell ref="E163:J163"/>
    <mergeCell ref="A148:Q148"/>
    <mergeCell ref="E149:J149"/>
    <mergeCell ref="A120:Q120"/>
    <mergeCell ref="E121:J121"/>
    <mergeCell ref="A232:Q232"/>
    <mergeCell ref="E233:J233"/>
    <mergeCell ref="A204:Q204"/>
    <mergeCell ref="E205:J205"/>
    <mergeCell ref="A218:Q218"/>
    <mergeCell ref="E219:J219"/>
    <mergeCell ref="A317:Q317"/>
    <mergeCell ref="E318:J318"/>
    <mergeCell ref="A302:Q302"/>
    <mergeCell ref="E303:J303"/>
    <mergeCell ref="A288:Q288"/>
    <mergeCell ref="E289:J289"/>
    <mergeCell ref="A246:Q246"/>
    <mergeCell ref="E247:J247"/>
    <mergeCell ref="A274:Q274"/>
    <mergeCell ref="E275:J275"/>
    <mergeCell ref="A260:Q260"/>
    <mergeCell ref="E261:J261"/>
  </mergeCells>
  <printOptions/>
  <pageMargins left="0.75" right="0.75" top="1" bottom="1" header="0.4921259845" footer="0.492125984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7:Q94"/>
  <sheetViews>
    <sheetView workbookViewId="0" topLeftCell="A1">
      <selection activeCell="G17" sqref="G17"/>
    </sheetView>
  </sheetViews>
  <sheetFormatPr defaultColWidth="11.421875" defaultRowHeight="12.75"/>
  <cols>
    <col min="1" max="1" width="4.57421875" style="0" customWidth="1"/>
    <col min="2" max="2" width="14.7109375" style="0" customWidth="1"/>
    <col min="3" max="5" width="7.7109375" style="0" customWidth="1"/>
    <col min="7" max="17" width="7.7109375" style="0" customWidth="1"/>
  </cols>
  <sheetData>
    <row r="6" ht="13.5" thickBot="1"/>
    <row r="7" spans="5:9" ht="21" thickBot="1">
      <c r="E7" s="157" t="s">
        <v>71</v>
      </c>
      <c r="F7" s="158"/>
      <c r="G7" s="158"/>
      <c r="H7" s="158"/>
      <c r="I7" s="159"/>
    </row>
    <row r="8" spans="5:9" ht="12.75">
      <c r="E8" s="160"/>
      <c r="F8" s="160"/>
      <c r="G8" s="160"/>
      <c r="H8" s="160"/>
      <c r="I8" s="160"/>
    </row>
    <row r="9" spans="5:9" ht="65.25" thickBot="1">
      <c r="E9" s="45" t="s">
        <v>2</v>
      </c>
      <c r="F9" s="45" t="s">
        <v>3</v>
      </c>
      <c r="G9" s="46" t="s">
        <v>55</v>
      </c>
      <c r="H9" s="37" t="s">
        <v>94</v>
      </c>
      <c r="I9" s="37" t="s">
        <v>69</v>
      </c>
    </row>
    <row r="10" spans="5:9" ht="12.75">
      <c r="E10" s="23" t="s">
        <v>18</v>
      </c>
      <c r="F10" s="24" t="s">
        <v>46</v>
      </c>
      <c r="G10" s="25">
        <f>SUM(H10:I10)</f>
        <v>3</v>
      </c>
      <c r="H10" s="26"/>
      <c r="I10" s="26">
        <v>3</v>
      </c>
    </row>
    <row r="11" spans="5:9" ht="12.75">
      <c r="E11" s="4" t="s">
        <v>20</v>
      </c>
      <c r="F11" s="19" t="s">
        <v>48</v>
      </c>
      <c r="G11" s="25">
        <f aca="true" t="shared" si="0" ref="G11:G19">SUM(H11:I11)</f>
        <v>2</v>
      </c>
      <c r="H11" s="6"/>
      <c r="I11" s="6">
        <v>2</v>
      </c>
    </row>
    <row r="12" spans="5:9" ht="12.75">
      <c r="E12" s="4" t="s">
        <v>21</v>
      </c>
      <c r="F12" s="19" t="s">
        <v>50</v>
      </c>
      <c r="G12" s="25">
        <f t="shared" si="0"/>
        <v>2</v>
      </c>
      <c r="H12" s="6">
        <v>1</v>
      </c>
      <c r="I12" s="6">
        <v>1</v>
      </c>
    </row>
    <row r="13" spans="5:9" ht="12.75">
      <c r="E13" s="4" t="s">
        <v>22</v>
      </c>
      <c r="F13" s="19" t="s">
        <v>51</v>
      </c>
      <c r="G13" s="25">
        <f t="shared" si="0"/>
        <v>1</v>
      </c>
      <c r="H13" s="6"/>
      <c r="I13" s="6">
        <v>1</v>
      </c>
    </row>
    <row r="14" spans="5:9" ht="12.75">
      <c r="E14" s="4" t="s">
        <v>23</v>
      </c>
      <c r="F14" s="19" t="s">
        <v>47</v>
      </c>
      <c r="G14" s="25">
        <f t="shared" si="0"/>
        <v>1</v>
      </c>
      <c r="H14" s="6">
        <v>1</v>
      </c>
      <c r="I14" s="6">
        <v>0</v>
      </c>
    </row>
    <row r="15" spans="5:9" ht="12.75">
      <c r="E15" s="4" t="s">
        <v>24</v>
      </c>
      <c r="F15" s="19" t="s">
        <v>32</v>
      </c>
      <c r="G15" s="25">
        <f t="shared" si="0"/>
        <v>1</v>
      </c>
      <c r="H15" s="6">
        <v>1</v>
      </c>
      <c r="I15" s="6">
        <v>0</v>
      </c>
    </row>
    <row r="16" spans="5:9" ht="12.75">
      <c r="E16" s="4" t="s">
        <v>25</v>
      </c>
      <c r="F16" s="19" t="s">
        <v>49</v>
      </c>
      <c r="G16" s="25">
        <f t="shared" si="0"/>
        <v>1</v>
      </c>
      <c r="H16" s="6">
        <v>1</v>
      </c>
      <c r="I16" s="6">
        <v>0</v>
      </c>
    </row>
    <row r="17" spans="5:9" ht="12.75">
      <c r="E17" s="4" t="s">
        <v>26</v>
      </c>
      <c r="F17" s="19" t="s">
        <v>52</v>
      </c>
      <c r="G17" s="25">
        <f t="shared" si="0"/>
        <v>1</v>
      </c>
      <c r="H17" s="6">
        <v>1</v>
      </c>
      <c r="I17" s="6">
        <v>0</v>
      </c>
    </row>
    <row r="18" spans="5:9" ht="12.75">
      <c r="E18" s="4" t="s">
        <v>27</v>
      </c>
      <c r="F18" s="19" t="s">
        <v>72</v>
      </c>
      <c r="G18" s="25">
        <f t="shared" si="0"/>
        <v>0</v>
      </c>
      <c r="H18" s="6"/>
      <c r="I18" s="6">
        <v>0</v>
      </c>
    </row>
    <row r="19" spans="5:9" ht="12.75">
      <c r="E19" s="4" t="s">
        <v>28</v>
      </c>
      <c r="F19" s="19" t="s">
        <v>53</v>
      </c>
      <c r="G19" s="25">
        <f t="shared" si="0"/>
        <v>0</v>
      </c>
      <c r="H19" s="6"/>
      <c r="I19" s="6">
        <v>0</v>
      </c>
    </row>
    <row r="20" spans="5:9" ht="13.5" thickBot="1">
      <c r="E20" s="61"/>
      <c r="F20" s="62"/>
      <c r="G20" s="64"/>
      <c r="H20" s="63"/>
      <c r="I20" s="63"/>
    </row>
    <row r="21" spans="1:17" ht="27.75">
      <c r="A21" s="133" t="s">
        <v>144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12.75">
      <c r="A22" s="10"/>
      <c r="B22" s="10"/>
      <c r="C22" s="10"/>
      <c r="D22" s="10"/>
      <c r="E22" s="129" t="s">
        <v>1</v>
      </c>
      <c r="F22" s="129"/>
      <c r="G22" s="129"/>
      <c r="H22" s="129"/>
      <c r="I22" s="129"/>
      <c r="J22" s="129"/>
      <c r="K22" s="11"/>
      <c r="L22" s="12"/>
      <c r="M22" s="12"/>
      <c r="N22" s="12"/>
      <c r="O22" s="12"/>
      <c r="P22" s="12"/>
      <c r="Q22" s="12"/>
    </row>
    <row r="23" spans="1:17" ht="65.25" thickBot="1">
      <c r="A23" s="40" t="s">
        <v>2</v>
      </c>
      <c r="B23" s="40" t="s">
        <v>3</v>
      </c>
      <c r="C23" s="41" t="s">
        <v>1</v>
      </c>
      <c r="D23" s="36" t="s">
        <v>4</v>
      </c>
      <c r="E23" s="37" t="s">
        <v>5</v>
      </c>
      <c r="F23" s="37" t="s">
        <v>6</v>
      </c>
      <c r="G23" s="37" t="s">
        <v>7</v>
      </c>
      <c r="H23" s="37" t="s">
        <v>8</v>
      </c>
      <c r="I23" s="37" t="s">
        <v>9</v>
      </c>
      <c r="J23" s="37" t="s">
        <v>10</v>
      </c>
      <c r="K23" s="42" t="s">
        <v>11</v>
      </c>
      <c r="L23" s="42" t="s">
        <v>12</v>
      </c>
      <c r="M23" s="42" t="s">
        <v>13</v>
      </c>
      <c r="N23" s="42" t="s">
        <v>14</v>
      </c>
      <c r="O23" s="43" t="s">
        <v>15</v>
      </c>
      <c r="P23" s="43" t="s">
        <v>16</v>
      </c>
      <c r="Q23" s="44" t="s">
        <v>17</v>
      </c>
    </row>
    <row r="24" spans="1:17" ht="12.75">
      <c r="A24" s="23" t="s">
        <v>18</v>
      </c>
      <c r="B24" s="24" t="s">
        <v>50</v>
      </c>
      <c r="C24" s="29">
        <v>259</v>
      </c>
      <c r="D24" s="26">
        <v>285</v>
      </c>
      <c r="E24" s="26">
        <v>25</v>
      </c>
      <c r="F24" s="26">
        <v>24</v>
      </c>
      <c r="G24" s="26">
        <v>76</v>
      </c>
      <c r="H24" s="26">
        <v>41</v>
      </c>
      <c r="I24" s="26">
        <v>53</v>
      </c>
      <c r="J24" s="26">
        <v>40</v>
      </c>
      <c r="K24" s="26">
        <v>235</v>
      </c>
      <c r="L24" s="26">
        <v>52</v>
      </c>
      <c r="M24" s="26">
        <v>118</v>
      </c>
      <c r="N24" s="26">
        <v>170</v>
      </c>
      <c r="O24" s="27">
        <v>0.723404255319149</v>
      </c>
      <c r="P24" s="26">
        <v>0</v>
      </c>
      <c r="Q24" s="30" t="s">
        <v>19</v>
      </c>
    </row>
    <row r="25" spans="1:17" ht="12.75">
      <c r="A25" s="4" t="s">
        <v>20</v>
      </c>
      <c r="B25" s="19" t="s">
        <v>46</v>
      </c>
      <c r="C25" s="13">
        <v>229</v>
      </c>
      <c r="D25" s="6">
        <v>291</v>
      </c>
      <c r="E25" s="6">
        <v>23</v>
      </c>
      <c r="F25" s="6">
        <v>40</v>
      </c>
      <c r="G25" s="6">
        <v>80</v>
      </c>
      <c r="H25" s="6">
        <v>36</v>
      </c>
      <c r="I25" s="6">
        <v>39</v>
      </c>
      <c r="J25" s="6">
        <v>11</v>
      </c>
      <c r="K25" s="6">
        <v>254</v>
      </c>
      <c r="L25" s="6">
        <v>74</v>
      </c>
      <c r="M25" s="6">
        <v>92</v>
      </c>
      <c r="N25" s="6">
        <v>166</v>
      </c>
      <c r="O25" s="7">
        <v>0.6535433070866141</v>
      </c>
      <c r="P25" s="6">
        <v>0</v>
      </c>
      <c r="Q25" s="13">
        <v>-30</v>
      </c>
    </row>
    <row r="26" spans="1:17" ht="12.75">
      <c r="A26" s="4" t="s">
        <v>21</v>
      </c>
      <c r="B26" s="19" t="s">
        <v>48</v>
      </c>
      <c r="C26" s="13">
        <v>220</v>
      </c>
      <c r="D26" s="6">
        <v>267</v>
      </c>
      <c r="E26" s="6">
        <v>34</v>
      </c>
      <c r="F26" s="6">
        <v>13</v>
      </c>
      <c r="G26" s="6">
        <v>79</v>
      </c>
      <c r="H26" s="6">
        <v>40</v>
      </c>
      <c r="I26" s="6">
        <v>43</v>
      </c>
      <c r="J26" s="6">
        <v>11</v>
      </c>
      <c r="K26" s="6">
        <v>245</v>
      </c>
      <c r="L26" s="6">
        <v>75</v>
      </c>
      <c r="M26" s="6">
        <v>98</v>
      </c>
      <c r="N26" s="6">
        <v>173</v>
      </c>
      <c r="O26" s="7">
        <v>0.7061224489795919</v>
      </c>
      <c r="P26" s="6">
        <v>0</v>
      </c>
      <c r="Q26" s="13">
        <v>-39</v>
      </c>
    </row>
    <row r="27" spans="1:17" ht="12.75">
      <c r="A27" s="4" t="s">
        <v>22</v>
      </c>
      <c r="B27" s="19" t="s">
        <v>52</v>
      </c>
      <c r="C27" s="13">
        <v>219</v>
      </c>
      <c r="D27" s="6">
        <v>266</v>
      </c>
      <c r="E27" s="6">
        <v>32</v>
      </c>
      <c r="F27" s="6">
        <v>38</v>
      </c>
      <c r="G27" s="6">
        <v>71</v>
      </c>
      <c r="H27" s="6">
        <v>34</v>
      </c>
      <c r="I27" s="6">
        <v>31</v>
      </c>
      <c r="J27" s="6">
        <v>13</v>
      </c>
      <c r="K27" s="6">
        <v>237</v>
      </c>
      <c r="L27" s="6">
        <v>50</v>
      </c>
      <c r="M27" s="6">
        <v>99</v>
      </c>
      <c r="N27" s="6">
        <v>149</v>
      </c>
      <c r="O27" s="7">
        <v>0.6286919831223629</v>
      </c>
      <c r="P27" s="6">
        <v>0</v>
      </c>
      <c r="Q27" s="13">
        <v>-40</v>
      </c>
    </row>
    <row r="28" spans="1:17" ht="12.75">
      <c r="A28" s="4" t="s">
        <v>23</v>
      </c>
      <c r="B28" s="19" t="s">
        <v>47</v>
      </c>
      <c r="C28" s="13">
        <v>219</v>
      </c>
      <c r="D28" s="6">
        <v>279</v>
      </c>
      <c r="E28" s="6">
        <v>6</v>
      </c>
      <c r="F28" s="6">
        <v>27</v>
      </c>
      <c r="G28" s="6">
        <v>82</v>
      </c>
      <c r="H28" s="6">
        <v>48</v>
      </c>
      <c r="I28" s="6">
        <v>31</v>
      </c>
      <c r="J28" s="6">
        <v>25</v>
      </c>
      <c r="K28" s="6">
        <v>224</v>
      </c>
      <c r="L28" s="6">
        <v>64</v>
      </c>
      <c r="M28" s="6">
        <v>97</v>
      </c>
      <c r="N28" s="6">
        <v>161</v>
      </c>
      <c r="O28" s="7">
        <v>0.71875</v>
      </c>
      <c r="P28" s="6">
        <v>0</v>
      </c>
      <c r="Q28" s="13">
        <v>-40</v>
      </c>
    </row>
    <row r="29" spans="1:17" ht="12.75">
      <c r="A29" s="4" t="s">
        <v>24</v>
      </c>
      <c r="B29" s="19" t="s">
        <v>32</v>
      </c>
      <c r="C29" s="13">
        <v>217</v>
      </c>
      <c r="D29" s="6">
        <v>296</v>
      </c>
      <c r="E29" s="6">
        <v>18</v>
      </c>
      <c r="F29" s="6">
        <v>30</v>
      </c>
      <c r="G29" s="6">
        <v>71</v>
      </c>
      <c r="H29" s="6">
        <v>46</v>
      </c>
      <c r="I29" s="6">
        <v>41</v>
      </c>
      <c r="J29" s="6">
        <v>11</v>
      </c>
      <c r="K29" s="6">
        <v>259</v>
      </c>
      <c r="L29" s="6">
        <v>59</v>
      </c>
      <c r="M29" s="6">
        <v>110</v>
      </c>
      <c r="N29" s="6">
        <v>169</v>
      </c>
      <c r="O29" s="7">
        <v>0.6525096525096525</v>
      </c>
      <c r="P29" s="6">
        <v>0</v>
      </c>
      <c r="Q29" s="13">
        <v>-42</v>
      </c>
    </row>
    <row r="30" spans="1:17" ht="12.75">
      <c r="A30" s="4" t="s">
        <v>25</v>
      </c>
      <c r="B30" s="19" t="s">
        <v>49</v>
      </c>
      <c r="C30" s="13">
        <v>207</v>
      </c>
      <c r="D30" s="6">
        <v>281</v>
      </c>
      <c r="E30" s="6">
        <v>5</v>
      </c>
      <c r="F30" s="6">
        <v>25</v>
      </c>
      <c r="G30" s="6">
        <v>90</v>
      </c>
      <c r="H30" s="6">
        <v>46</v>
      </c>
      <c r="I30" s="6">
        <v>32</v>
      </c>
      <c r="J30" s="6">
        <v>9</v>
      </c>
      <c r="K30" s="6">
        <v>244</v>
      </c>
      <c r="L30" s="6">
        <v>67</v>
      </c>
      <c r="M30" s="6">
        <v>110</v>
      </c>
      <c r="N30" s="6">
        <v>177</v>
      </c>
      <c r="O30" s="7">
        <v>0.7254098360655737</v>
      </c>
      <c r="P30" s="6">
        <v>0</v>
      </c>
      <c r="Q30" s="13">
        <v>-52</v>
      </c>
    </row>
    <row r="31" spans="1:17" ht="12.75">
      <c r="A31" s="4" t="s">
        <v>26</v>
      </c>
      <c r="B31" s="19" t="s">
        <v>53</v>
      </c>
      <c r="C31" s="13">
        <v>206</v>
      </c>
      <c r="D31" s="26">
        <v>266</v>
      </c>
      <c r="E31" s="26">
        <v>25</v>
      </c>
      <c r="F31" s="26">
        <v>22</v>
      </c>
      <c r="G31" s="26">
        <v>62</v>
      </c>
      <c r="H31" s="26">
        <v>49</v>
      </c>
      <c r="I31" s="26">
        <v>43</v>
      </c>
      <c r="J31" s="26">
        <v>5</v>
      </c>
      <c r="K31" s="26">
        <v>236</v>
      </c>
      <c r="L31" s="26">
        <v>54</v>
      </c>
      <c r="M31" s="26">
        <v>105</v>
      </c>
      <c r="N31" s="6">
        <v>159</v>
      </c>
      <c r="O31" s="7">
        <v>0.673728813559322</v>
      </c>
      <c r="P31" s="6">
        <v>0</v>
      </c>
      <c r="Q31" s="13">
        <v>-53</v>
      </c>
    </row>
    <row r="32" spans="1:17" ht="12.75">
      <c r="A32" s="4" t="s">
        <v>27</v>
      </c>
      <c r="B32" s="19" t="s">
        <v>72</v>
      </c>
      <c r="C32" s="13">
        <v>180</v>
      </c>
      <c r="D32" s="6">
        <v>254</v>
      </c>
      <c r="E32" s="6">
        <v>33</v>
      </c>
      <c r="F32" s="6">
        <v>22</v>
      </c>
      <c r="G32" s="6">
        <v>51</v>
      </c>
      <c r="H32" s="6">
        <v>37</v>
      </c>
      <c r="I32" s="6">
        <v>28</v>
      </c>
      <c r="J32" s="6">
        <v>9</v>
      </c>
      <c r="K32" s="6">
        <v>222</v>
      </c>
      <c r="L32" s="6">
        <v>50</v>
      </c>
      <c r="M32" s="6">
        <v>75</v>
      </c>
      <c r="N32" s="6">
        <v>125</v>
      </c>
      <c r="O32" s="7">
        <v>0.5630630630630631</v>
      </c>
      <c r="P32" s="6">
        <v>0</v>
      </c>
      <c r="Q32" s="13">
        <v>-79</v>
      </c>
    </row>
    <row r="33" spans="1:17" ht="13.5" thickBot="1">
      <c r="A33" s="4" t="s">
        <v>28</v>
      </c>
      <c r="B33" s="19" t="s">
        <v>51</v>
      </c>
      <c r="C33" s="13">
        <v>166</v>
      </c>
      <c r="D33" s="6">
        <v>261</v>
      </c>
      <c r="E33" s="6">
        <v>11</v>
      </c>
      <c r="F33" s="6">
        <v>34</v>
      </c>
      <c r="G33" s="6">
        <v>42</v>
      </c>
      <c r="H33" s="6">
        <v>48</v>
      </c>
      <c r="I33" s="6">
        <v>28</v>
      </c>
      <c r="J33" s="6">
        <v>3</v>
      </c>
      <c r="K33" s="6">
        <v>228</v>
      </c>
      <c r="L33" s="6">
        <v>52</v>
      </c>
      <c r="M33" s="6">
        <v>69</v>
      </c>
      <c r="N33" s="6">
        <v>121</v>
      </c>
      <c r="O33" s="7">
        <v>0.5307017543859649</v>
      </c>
      <c r="P33" s="6">
        <v>0</v>
      </c>
      <c r="Q33" s="13">
        <v>-93</v>
      </c>
    </row>
    <row r="34" spans="1:4" ht="13.5" thickBot="1">
      <c r="A34" s="123" t="s">
        <v>45</v>
      </c>
      <c r="B34" s="124"/>
      <c r="C34" s="125"/>
      <c r="D34" s="21">
        <v>212.2</v>
      </c>
    </row>
    <row r="35" spans="1:4" ht="13.5" thickBot="1">
      <c r="A35" s="116"/>
      <c r="B35" s="116"/>
      <c r="C35" s="116"/>
      <c r="D35" s="116"/>
    </row>
    <row r="36" spans="1:17" ht="27.75">
      <c r="A36" s="133" t="s">
        <v>138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ht="12.75">
      <c r="A37" s="10"/>
      <c r="B37" s="10"/>
      <c r="C37" s="10"/>
      <c r="D37" s="10"/>
      <c r="E37" s="129" t="s">
        <v>1</v>
      </c>
      <c r="F37" s="129"/>
      <c r="G37" s="129"/>
      <c r="H37" s="129"/>
      <c r="I37" s="129"/>
      <c r="J37" s="129"/>
      <c r="K37" s="11"/>
      <c r="L37" s="12"/>
      <c r="M37" s="12"/>
      <c r="N37" s="12"/>
      <c r="O37" s="12"/>
      <c r="P37" s="12"/>
      <c r="Q37" s="12"/>
    </row>
    <row r="38" spans="1:17" ht="65.25" thickBot="1">
      <c r="A38" s="40" t="s">
        <v>2</v>
      </c>
      <c r="B38" s="40" t="s">
        <v>3</v>
      </c>
      <c r="C38" s="41" t="s">
        <v>1</v>
      </c>
      <c r="D38" s="36" t="s">
        <v>4</v>
      </c>
      <c r="E38" s="37" t="s">
        <v>5</v>
      </c>
      <c r="F38" s="37" t="s">
        <v>6</v>
      </c>
      <c r="G38" s="37" t="s">
        <v>7</v>
      </c>
      <c r="H38" s="37" t="s">
        <v>8</v>
      </c>
      <c r="I38" s="37" t="s">
        <v>9</v>
      </c>
      <c r="J38" s="37" t="s">
        <v>10</v>
      </c>
      <c r="K38" s="42" t="s">
        <v>11</v>
      </c>
      <c r="L38" s="42" t="s">
        <v>12</v>
      </c>
      <c r="M38" s="42" t="s">
        <v>13</v>
      </c>
      <c r="N38" s="42" t="s">
        <v>14</v>
      </c>
      <c r="O38" s="43" t="s">
        <v>15</v>
      </c>
      <c r="P38" s="43" t="s">
        <v>16</v>
      </c>
      <c r="Q38" s="44" t="s">
        <v>17</v>
      </c>
    </row>
    <row r="39" spans="1:17" ht="12.75">
      <c r="A39" s="23" t="s">
        <v>18</v>
      </c>
      <c r="B39" s="24" t="s">
        <v>52</v>
      </c>
      <c r="C39" s="29">
        <v>249</v>
      </c>
      <c r="D39" s="26">
        <v>273</v>
      </c>
      <c r="E39" s="26">
        <v>18</v>
      </c>
      <c r="F39" s="26">
        <v>34</v>
      </c>
      <c r="G39" s="26">
        <v>86</v>
      </c>
      <c r="H39" s="26">
        <v>60</v>
      </c>
      <c r="I39" s="26">
        <v>36</v>
      </c>
      <c r="J39" s="26">
        <v>15</v>
      </c>
      <c r="K39" s="26">
        <v>242</v>
      </c>
      <c r="L39" s="26">
        <v>68</v>
      </c>
      <c r="M39" s="26">
        <v>129</v>
      </c>
      <c r="N39" s="26">
        <v>197</v>
      </c>
      <c r="O39" s="27">
        <v>0.8140495867768595</v>
      </c>
      <c r="P39" s="26">
        <v>0</v>
      </c>
      <c r="Q39" s="30" t="s">
        <v>19</v>
      </c>
    </row>
    <row r="40" spans="1:17" ht="12.75">
      <c r="A40" s="4" t="s">
        <v>20</v>
      </c>
      <c r="B40" s="19" t="s">
        <v>50</v>
      </c>
      <c r="C40" s="13">
        <v>243</v>
      </c>
      <c r="D40" s="6">
        <v>276</v>
      </c>
      <c r="E40" s="6">
        <v>26</v>
      </c>
      <c r="F40" s="6">
        <v>22</v>
      </c>
      <c r="G40" s="6">
        <v>86</v>
      </c>
      <c r="H40" s="6">
        <v>37</v>
      </c>
      <c r="I40" s="6">
        <v>37</v>
      </c>
      <c r="J40" s="6">
        <v>35</v>
      </c>
      <c r="K40" s="6">
        <v>225</v>
      </c>
      <c r="L40" s="6">
        <v>60</v>
      </c>
      <c r="M40" s="6">
        <v>100</v>
      </c>
      <c r="N40" s="6">
        <v>160</v>
      </c>
      <c r="O40" s="7">
        <v>0.7111111111111111</v>
      </c>
      <c r="P40" s="6">
        <v>0</v>
      </c>
      <c r="Q40" s="13">
        <v>-6</v>
      </c>
    </row>
    <row r="41" spans="1:17" ht="12.75">
      <c r="A41" s="4" t="s">
        <v>21</v>
      </c>
      <c r="B41" s="19" t="s">
        <v>32</v>
      </c>
      <c r="C41" s="13">
        <v>236</v>
      </c>
      <c r="D41" s="6">
        <v>274</v>
      </c>
      <c r="E41" s="6">
        <v>30</v>
      </c>
      <c r="F41" s="6">
        <v>37</v>
      </c>
      <c r="G41" s="6">
        <v>72</v>
      </c>
      <c r="H41" s="6">
        <v>48</v>
      </c>
      <c r="I41" s="6">
        <v>39</v>
      </c>
      <c r="J41" s="6">
        <v>10</v>
      </c>
      <c r="K41" s="6">
        <v>242</v>
      </c>
      <c r="L41" s="6">
        <v>64</v>
      </c>
      <c r="M41" s="6">
        <v>105</v>
      </c>
      <c r="N41" s="6">
        <v>169</v>
      </c>
      <c r="O41" s="7">
        <v>0.6983471074380165</v>
      </c>
      <c r="P41" s="6">
        <v>0</v>
      </c>
      <c r="Q41" s="13">
        <v>-13</v>
      </c>
    </row>
    <row r="42" spans="1:17" ht="12.75">
      <c r="A42" s="4" t="s">
        <v>22</v>
      </c>
      <c r="B42" s="19" t="s">
        <v>49</v>
      </c>
      <c r="C42" s="13">
        <v>215</v>
      </c>
      <c r="D42" s="6">
        <v>283</v>
      </c>
      <c r="E42" s="6">
        <v>10</v>
      </c>
      <c r="F42" s="6">
        <v>39</v>
      </c>
      <c r="G42" s="6">
        <v>77</v>
      </c>
      <c r="H42" s="6">
        <v>36</v>
      </c>
      <c r="I42" s="6">
        <v>42</v>
      </c>
      <c r="J42" s="6">
        <v>11</v>
      </c>
      <c r="K42" s="6">
        <v>244</v>
      </c>
      <c r="L42" s="6">
        <v>60</v>
      </c>
      <c r="M42" s="6">
        <v>106</v>
      </c>
      <c r="N42" s="6">
        <v>166</v>
      </c>
      <c r="O42" s="7">
        <v>0.680327868852459</v>
      </c>
      <c r="P42" s="6">
        <v>0</v>
      </c>
      <c r="Q42" s="13">
        <v>-34</v>
      </c>
    </row>
    <row r="43" spans="1:17" ht="12.75">
      <c r="A43" s="4" t="s">
        <v>23</v>
      </c>
      <c r="B43" s="19" t="s">
        <v>51</v>
      </c>
      <c r="C43" s="13">
        <v>208</v>
      </c>
      <c r="D43" s="6">
        <v>274</v>
      </c>
      <c r="E43" s="6">
        <v>3</v>
      </c>
      <c r="F43" s="6">
        <v>37</v>
      </c>
      <c r="G43" s="6">
        <v>73</v>
      </c>
      <c r="H43" s="6">
        <v>54</v>
      </c>
      <c r="I43" s="6">
        <v>33</v>
      </c>
      <c r="J43" s="6">
        <v>8</v>
      </c>
      <c r="K43" s="6">
        <v>236</v>
      </c>
      <c r="L43" s="6">
        <v>67</v>
      </c>
      <c r="M43" s="6">
        <v>101</v>
      </c>
      <c r="N43" s="6">
        <v>168</v>
      </c>
      <c r="O43" s="7">
        <v>0.711864406779661</v>
      </c>
      <c r="P43" s="6">
        <v>0</v>
      </c>
      <c r="Q43" s="13">
        <v>-41</v>
      </c>
    </row>
    <row r="44" spans="1:17" ht="12.75">
      <c r="A44" s="4" t="s">
        <v>24</v>
      </c>
      <c r="B44" s="19" t="s">
        <v>46</v>
      </c>
      <c r="C44" s="13">
        <v>208</v>
      </c>
      <c r="D44" s="6">
        <v>276</v>
      </c>
      <c r="E44" s="6">
        <v>24</v>
      </c>
      <c r="F44" s="6">
        <v>29</v>
      </c>
      <c r="G44" s="6">
        <v>76</v>
      </c>
      <c r="H44" s="6">
        <v>33</v>
      </c>
      <c r="I44" s="6">
        <v>36</v>
      </c>
      <c r="J44" s="6">
        <v>10</v>
      </c>
      <c r="K44" s="6">
        <v>243</v>
      </c>
      <c r="L44" s="6">
        <v>56</v>
      </c>
      <c r="M44" s="6">
        <v>99</v>
      </c>
      <c r="N44" s="6">
        <v>155</v>
      </c>
      <c r="O44" s="7">
        <v>0.6378600823045267</v>
      </c>
      <c r="P44" s="6">
        <v>0</v>
      </c>
      <c r="Q44" s="13">
        <v>-41</v>
      </c>
    </row>
    <row r="45" spans="1:17" ht="12.75">
      <c r="A45" s="4" t="s">
        <v>25</v>
      </c>
      <c r="B45" s="19" t="s">
        <v>72</v>
      </c>
      <c r="C45" s="13">
        <v>204</v>
      </c>
      <c r="D45" s="6">
        <v>265</v>
      </c>
      <c r="E45" s="6">
        <v>24</v>
      </c>
      <c r="F45" s="6">
        <v>35</v>
      </c>
      <c r="G45" s="6">
        <v>60</v>
      </c>
      <c r="H45" s="6">
        <v>43</v>
      </c>
      <c r="I45" s="6">
        <v>35</v>
      </c>
      <c r="J45" s="6">
        <v>7</v>
      </c>
      <c r="K45" s="6">
        <v>229</v>
      </c>
      <c r="L45" s="6">
        <v>58</v>
      </c>
      <c r="M45" s="6">
        <v>87</v>
      </c>
      <c r="N45" s="6">
        <v>145</v>
      </c>
      <c r="O45" s="7">
        <v>0.6331877729257642</v>
      </c>
      <c r="P45" s="6">
        <v>0</v>
      </c>
      <c r="Q45" s="13">
        <v>-45</v>
      </c>
    </row>
    <row r="46" spans="1:17" ht="12.75">
      <c r="A46" s="4" t="s">
        <v>26</v>
      </c>
      <c r="B46" s="19" t="s">
        <v>47</v>
      </c>
      <c r="C46" s="13">
        <v>186</v>
      </c>
      <c r="D46" s="26">
        <v>271</v>
      </c>
      <c r="E46" s="26">
        <v>11</v>
      </c>
      <c r="F46" s="26">
        <v>20</v>
      </c>
      <c r="G46" s="26">
        <v>75</v>
      </c>
      <c r="H46" s="26">
        <v>30</v>
      </c>
      <c r="I46" s="26">
        <v>32</v>
      </c>
      <c r="J46" s="26">
        <v>18</v>
      </c>
      <c r="K46" s="26">
        <v>231</v>
      </c>
      <c r="L46" s="26">
        <v>49</v>
      </c>
      <c r="M46" s="26">
        <v>90</v>
      </c>
      <c r="N46" s="6">
        <v>139</v>
      </c>
      <c r="O46" s="7">
        <v>0.6017316017316018</v>
      </c>
      <c r="P46" s="6">
        <v>0</v>
      </c>
      <c r="Q46" s="13">
        <v>-63</v>
      </c>
    </row>
    <row r="47" spans="1:17" ht="12.75">
      <c r="A47" s="4" t="s">
        <v>27</v>
      </c>
      <c r="B47" s="19" t="s">
        <v>48</v>
      </c>
      <c r="C47" s="13">
        <v>173</v>
      </c>
      <c r="D47" s="6">
        <v>265</v>
      </c>
      <c r="E47" s="6">
        <v>7</v>
      </c>
      <c r="F47" s="6">
        <v>20</v>
      </c>
      <c r="G47" s="6">
        <v>66</v>
      </c>
      <c r="H47" s="6">
        <v>41</v>
      </c>
      <c r="I47" s="6">
        <v>30</v>
      </c>
      <c r="J47" s="6">
        <v>9</v>
      </c>
      <c r="K47" s="6">
        <v>245</v>
      </c>
      <c r="L47" s="6">
        <v>64</v>
      </c>
      <c r="M47" s="6">
        <v>82</v>
      </c>
      <c r="N47" s="6">
        <v>146</v>
      </c>
      <c r="O47" s="7">
        <v>0.5959183673469388</v>
      </c>
      <c r="P47" s="6">
        <v>0</v>
      </c>
      <c r="Q47" s="13">
        <v>-76</v>
      </c>
    </row>
    <row r="48" spans="1:17" ht="13.5" thickBot="1">
      <c r="A48" s="4" t="s">
        <v>28</v>
      </c>
      <c r="B48" s="19" t="s">
        <v>53</v>
      </c>
      <c r="C48" s="13">
        <v>168</v>
      </c>
      <c r="D48" s="6">
        <v>275</v>
      </c>
      <c r="E48" s="6">
        <v>18</v>
      </c>
      <c r="F48" s="6">
        <v>8</v>
      </c>
      <c r="G48" s="6">
        <v>63</v>
      </c>
      <c r="H48" s="6">
        <v>38</v>
      </c>
      <c r="I48" s="6">
        <v>39</v>
      </c>
      <c r="J48" s="6">
        <v>2</v>
      </c>
      <c r="K48" s="6">
        <v>248</v>
      </c>
      <c r="L48" s="6">
        <v>46</v>
      </c>
      <c r="M48" s="6">
        <v>96</v>
      </c>
      <c r="N48" s="6">
        <v>142</v>
      </c>
      <c r="O48" s="7">
        <v>0.5725806451612904</v>
      </c>
      <c r="P48" s="6">
        <v>0</v>
      </c>
      <c r="Q48" s="13">
        <v>-81</v>
      </c>
    </row>
    <row r="49" spans="1:4" ht="13.5" thickBot="1">
      <c r="A49" s="123" t="s">
        <v>45</v>
      </c>
      <c r="B49" s="124"/>
      <c r="C49" s="125"/>
      <c r="D49" s="21">
        <v>209</v>
      </c>
    </row>
    <row r="50" spans="5:9" ht="13.5" thickBot="1">
      <c r="E50" s="61"/>
      <c r="F50" s="62"/>
      <c r="G50" s="64"/>
      <c r="H50" s="63"/>
      <c r="I50" s="63"/>
    </row>
    <row r="51" spans="1:17" ht="27.75">
      <c r="A51" s="133" t="s">
        <v>127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7" ht="12.75">
      <c r="A52" s="10"/>
      <c r="B52" s="10"/>
      <c r="C52" s="10"/>
      <c r="D52" s="10"/>
      <c r="E52" s="129" t="s">
        <v>1</v>
      </c>
      <c r="F52" s="129"/>
      <c r="G52" s="129"/>
      <c r="H52" s="129"/>
      <c r="I52" s="129"/>
      <c r="J52" s="129"/>
      <c r="K52" s="11"/>
      <c r="L52" s="12"/>
      <c r="M52" s="12"/>
      <c r="N52" s="12"/>
      <c r="O52" s="12"/>
      <c r="P52" s="12"/>
      <c r="Q52" s="12"/>
    </row>
    <row r="53" spans="1:17" ht="65.25" thickBot="1">
      <c r="A53" s="40" t="s">
        <v>2</v>
      </c>
      <c r="B53" s="40" t="s">
        <v>3</v>
      </c>
      <c r="C53" s="41" t="s">
        <v>1</v>
      </c>
      <c r="D53" s="36" t="s">
        <v>4</v>
      </c>
      <c r="E53" s="37" t="s">
        <v>5</v>
      </c>
      <c r="F53" s="37" t="s">
        <v>6</v>
      </c>
      <c r="G53" s="37" t="s">
        <v>7</v>
      </c>
      <c r="H53" s="37" t="s">
        <v>8</v>
      </c>
      <c r="I53" s="37" t="s">
        <v>9</v>
      </c>
      <c r="J53" s="37" t="s">
        <v>10</v>
      </c>
      <c r="K53" s="42" t="s">
        <v>11</v>
      </c>
      <c r="L53" s="42" t="s">
        <v>12</v>
      </c>
      <c r="M53" s="42" t="s">
        <v>13</v>
      </c>
      <c r="N53" s="42" t="s">
        <v>14</v>
      </c>
      <c r="O53" s="43" t="s">
        <v>15</v>
      </c>
      <c r="P53" s="43" t="s">
        <v>16</v>
      </c>
      <c r="Q53" s="44" t="s">
        <v>17</v>
      </c>
    </row>
    <row r="54" spans="1:17" ht="12.75">
      <c r="A54" s="23" t="s">
        <v>18</v>
      </c>
      <c r="B54" s="24" t="s">
        <v>49</v>
      </c>
      <c r="C54" s="29">
        <v>289</v>
      </c>
      <c r="D54" s="26">
        <v>313</v>
      </c>
      <c r="E54" s="26">
        <v>29</v>
      </c>
      <c r="F54" s="26">
        <v>37</v>
      </c>
      <c r="G54" s="26">
        <v>90</v>
      </c>
      <c r="H54" s="26">
        <v>75</v>
      </c>
      <c r="I54" s="26">
        <v>41</v>
      </c>
      <c r="J54" s="26">
        <v>17</v>
      </c>
      <c r="K54" s="26">
        <v>281</v>
      </c>
      <c r="L54" s="26">
        <v>97</v>
      </c>
      <c r="M54" s="26">
        <v>126</v>
      </c>
      <c r="N54" s="26">
        <v>223</v>
      </c>
      <c r="O54" s="27">
        <v>0.7935943060498221</v>
      </c>
      <c r="P54" s="26">
        <v>0</v>
      </c>
      <c r="Q54" s="30" t="s">
        <v>19</v>
      </c>
    </row>
    <row r="55" spans="1:17" ht="12.75">
      <c r="A55" s="4" t="s">
        <v>20</v>
      </c>
      <c r="B55" s="19" t="s">
        <v>50</v>
      </c>
      <c r="C55" s="13">
        <v>279</v>
      </c>
      <c r="D55" s="6">
        <v>294</v>
      </c>
      <c r="E55" s="6">
        <v>52</v>
      </c>
      <c r="F55" s="6">
        <v>22</v>
      </c>
      <c r="G55" s="6">
        <v>78</v>
      </c>
      <c r="H55" s="6">
        <v>33</v>
      </c>
      <c r="I55" s="6">
        <v>48</v>
      </c>
      <c r="J55" s="6">
        <v>46</v>
      </c>
      <c r="K55" s="6">
        <v>244</v>
      </c>
      <c r="L55" s="6">
        <v>47</v>
      </c>
      <c r="M55" s="6">
        <v>112</v>
      </c>
      <c r="N55" s="6">
        <v>159</v>
      </c>
      <c r="O55" s="7">
        <v>0.6516393442622951</v>
      </c>
      <c r="P55" s="6">
        <v>0</v>
      </c>
      <c r="Q55" s="13">
        <v>-10</v>
      </c>
    </row>
    <row r="56" spans="1:17" ht="12.75">
      <c r="A56" s="4" t="s">
        <v>21</v>
      </c>
      <c r="B56" s="19" t="s">
        <v>52</v>
      </c>
      <c r="C56" s="13">
        <v>248</v>
      </c>
      <c r="D56" s="6">
        <v>291</v>
      </c>
      <c r="E56" s="6">
        <v>33</v>
      </c>
      <c r="F56" s="6">
        <v>30</v>
      </c>
      <c r="G56" s="6">
        <v>86</v>
      </c>
      <c r="H56" s="6">
        <v>48</v>
      </c>
      <c r="I56" s="6">
        <v>41</v>
      </c>
      <c r="J56" s="6">
        <v>10</v>
      </c>
      <c r="K56" s="6">
        <v>257</v>
      </c>
      <c r="L56" s="6">
        <v>69</v>
      </c>
      <c r="M56" s="6">
        <v>116</v>
      </c>
      <c r="N56" s="6">
        <v>185</v>
      </c>
      <c r="O56" s="7">
        <v>0.7198443579766537</v>
      </c>
      <c r="P56" s="6">
        <v>0</v>
      </c>
      <c r="Q56" s="13">
        <v>-41</v>
      </c>
    </row>
    <row r="57" spans="1:17" ht="12.75">
      <c r="A57" s="4" t="s">
        <v>22</v>
      </c>
      <c r="B57" s="19" t="s">
        <v>32</v>
      </c>
      <c r="C57" s="13">
        <v>246</v>
      </c>
      <c r="D57" s="6">
        <v>298</v>
      </c>
      <c r="E57" s="6">
        <v>26</v>
      </c>
      <c r="F57" s="6">
        <v>41</v>
      </c>
      <c r="G57" s="6">
        <v>78</v>
      </c>
      <c r="H57" s="6">
        <v>48</v>
      </c>
      <c r="I57" s="6">
        <v>36</v>
      </c>
      <c r="J57" s="6">
        <v>17</v>
      </c>
      <c r="K57" s="6">
        <v>264</v>
      </c>
      <c r="L57" s="6">
        <v>52</v>
      </c>
      <c r="M57" s="6">
        <v>127</v>
      </c>
      <c r="N57" s="6">
        <v>179</v>
      </c>
      <c r="O57" s="7">
        <v>0.678030303030303</v>
      </c>
      <c r="P57" s="6">
        <v>0</v>
      </c>
      <c r="Q57" s="13">
        <v>-43</v>
      </c>
    </row>
    <row r="58" spans="1:17" ht="12.75">
      <c r="A58" s="4" t="s">
        <v>23</v>
      </c>
      <c r="B58" s="19" t="s">
        <v>46</v>
      </c>
      <c r="C58" s="13">
        <v>236</v>
      </c>
      <c r="D58" s="6">
        <v>305</v>
      </c>
      <c r="E58" s="6">
        <v>26</v>
      </c>
      <c r="F58" s="6">
        <v>31</v>
      </c>
      <c r="G58" s="6">
        <v>80</v>
      </c>
      <c r="H58" s="6">
        <v>50</v>
      </c>
      <c r="I58" s="6">
        <v>37</v>
      </c>
      <c r="J58" s="6">
        <v>12</v>
      </c>
      <c r="K58" s="6">
        <v>271</v>
      </c>
      <c r="L58" s="6">
        <v>54</v>
      </c>
      <c r="M58" s="6">
        <v>125</v>
      </c>
      <c r="N58" s="6">
        <v>179</v>
      </c>
      <c r="O58" s="7">
        <v>0.6605166051660517</v>
      </c>
      <c r="P58" s="6">
        <v>0</v>
      </c>
      <c r="Q58" s="13">
        <v>-53</v>
      </c>
    </row>
    <row r="59" spans="1:17" ht="12.75">
      <c r="A59" s="4" t="s">
        <v>24</v>
      </c>
      <c r="B59" s="19" t="s">
        <v>53</v>
      </c>
      <c r="C59" s="13">
        <v>233</v>
      </c>
      <c r="D59" s="6">
        <v>294</v>
      </c>
      <c r="E59" s="6">
        <v>46</v>
      </c>
      <c r="F59" s="6">
        <v>25</v>
      </c>
      <c r="G59" s="6">
        <v>71</v>
      </c>
      <c r="H59" s="6">
        <v>38</v>
      </c>
      <c r="I59" s="6">
        <v>44</v>
      </c>
      <c r="J59" s="6">
        <v>9</v>
      </c>
      <c r="K59" s="6">
        <v>261</v>
      </c>
      <c r="L59" s="6">
        <v>58</v>
      </c>
      <c r="M59" s="6">
        <v>104</v>
      </c>
      <c r="N59" s="6">
        <v>162</v>
      </c>
      <c r="O59" s="7">
        <v>0.6206896551724138</v>
      </c>
      <c r="P59" s="6">
        <v>0</v>
      </c>
      <c r="Q59" s="13">
        <v>-56</v>
      </c>
    </row>
    <row r="60" spans="1:17" ht="12.75">
      <c r="A60" s="4" t="s">
        <v>25</v>
      </c>
      <c r="B60" s="19" t="s">
        <v>72</v>
      </c>
      <c r="C60" s="13">
        <v>218</v>
      </c>
      <c r="D60" s="6">
        <v>281</v>
      </c>
      <c r="E60" s="6">
        <v>34</v>
      </c>
      <c r="F60" s="6">
        <v>28</v>
      </c>
      <c r="G60" s="6">
        <v>71</v>
      </c>
      <c r="H60" s="6">
        <v>52</v>
      </c>
      <c r="I60" s="6">
        <v>27</v>
      </c>
      <c r="J60" s="6">
        <v>6</v>
      </c>
      <c r="K60" s="6">
        <v>244</v>
      </c>
      <c r="L60" s="6">
        <v>61</v>
      </c>
      <c r="M60" s="6">
        <v>95</v>
      </c>
      <c r="N60" s="6">
        <v>156</v>
      </c>
      <c r="O60" s="7">
        <v>0.639344262295082</v>
      </c>
      <c r="P60" s="6">
        <v>0</v>
      </c>
      <c r="Q60" s="13">
        <v>-71</v>
      </c>
    </row>
    <row r="61" spans="1:17" ht="12.75">
      <c r="A61" s="4" t="s">
        <v>26</v>
      </c>
      <c r="B61" s="19" t="s">
        <v>48</v>
      </c>
      <c r="C61" s="13">
        <v>211</v>
      </c>
      <c r="D61" s="26">
        <v>307</v>
      </c>
      <c r="E61" s="26">
        <v>15</v>
      </c>
      <c r="F61" s="26">
        <v>24</v>
      </c>
      <c r="G61" s="26">
        <v>70</v>
      </c>
      <c r="H61" s="26">
        <v>50</v>
      </c>
      <c r="I61" s="26">
        <v>37</v>
      </c>
      <c r="J61" s="26">
        <v>15</v>
      </c>
      <c r="K61" s="26">
        <v>274</v>
      </c>
      <c r="L61" s="26">
        <v>60</v>
      </c>
      <c r="M61" s="26">
        <v>112</v>
      </c>
      <c r="N61" s="6">
        <v>172</v>
      </c>
      <c r="O61" s="7">
        <v>0.6277372262773723</v>
      </c>
      <c r="P61" s="6">
        <v>0</v>
      </c>
      <c r="Q61" s="13">
        <v>-78</v>
      </c>
    </row>
    <row r="62" spans="1:17" ht="12.75">
      <c r="A62" s="4" t="s">
        <v>27</v>
      </c>
      <c r="B62" s="19" t="s">
        <v>51</v>
      </c>
      <c r="C62" s="13">
        <v>210</v>
      </c>
      <c r="D62" s="6">
        <v>301</v>
      </c>
      <c r="E62" s="6">
        <v>7</v>
      </c>
      <c r="F62" s="6">
        <v>26</v>
      </c>
      <c r="G62" s="6">
        <v>80</v>
      </c>
      <c r="H62" s="6">
        <v>54</v>
      </c>
      <c r="I62" s="6">
        <v>34</v>
      </c>
      <c r="J62" s="6">
        <v>9</v>
      </c>
      <c r="K62" s="6">
        <v>265</v>
      </c>
      <c r="L62" s="6">
        <v>61</v>
      </c>
      <c r="M62" s="6">
        <v>116</v>
      </c>
      <c r="N62" s="6">
        <v>177</v>
      </c>
      <c r="O62" s="7">
        <v>0.6679245283018868</v>
      </c>
      <c r="P62" s="6">
        <v>0</v>
      </c>
      <c r="Q62" s="13">
        <v>-79</v>
      </c>
    </row>
    <row r="63" spans="1:17" ht="13.5" thickBot="1">
      <c r="A63" s="4" t="s">
        <v>28</v>
      </c>
      <c r="B63" s="19" t="s">
        <v>47</v>
      </c>
      <c r="C63" s="13">
        <v>199</v>
      </c>
      <c r="D63" s="6">
        <v>284</v>
      </c>
      <c r="E63" s="6">
        <v>6</v>
      </c>
      <c r="F63" s="6">
        <v>20</v>
      </c>
      <c r="G63" s="6">
        <v>94</v>
      </c>
      <c r="H63" s="6">
        <v>44</v>
      </c>
      <c r="I63" s="6">
        <v>27</v>
      </c>
      <c r="J63" s="6">
        <v>8</v>
      </c>
      <c r="K63" s="6">
        <v>247</v>
      </c>
      <c r="L63" s="6">
        <v>73</v>
      </c>
      <c r="M63" s="6">
        <v>98</v>
      </c>
      <c r="N63" s="6">
        <v>171</v>
      </c>
      <c r="O63" s="7">
        <v>0.6923076923076923</v>
      </c>
      <c r="P63" s="6">
        <v>0</v>
      </c>
      <c r="Q63" s="13">
        <v>-90</v>
      </c>
    </row>
    <row r="64" spans="1:4" ht="13.5" thickBot="1">
      <c r="A64" s="123" t="s">
        <v>45</v>
      </c>
      <c r="B64" s="124"/>
      <c r="C64" s="125"/>
      <c r="D64" s="21">
        <v>236.9</v>
      </c>
    </row>
    <row r="65" spans="5:8" ht="13.5" thickBot="1">
      <c r="E65" s="61"/>
      <c r="F65" s="62"/>
      <c r="G65" s="64"/>
      <c r="H65" s="63"/>
    </row>
    <row r="66" spans="1:17" ht="27.75">
      <c r="A66" s="133" t="s">
        <v>117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</row>
    <row r="67" spans="1:17" ht="12.75">
      <c r="A67" s="10"/>
      <c r="B67" s="10"/>
      <c r="C67" s="10"/>
      <c r="D67" s="10"/>
      <c r="E67" s="129" t="s">
        <v>1</v>
      </c>
      <c r="F67" s="129"/>
      <c r="G67" s="129"/>
      <c r="H67" s="129"/>
      <c r="I67" s="129"/>
      <c r="J67" s="129"/>
      <c r="K67" s="11"/>
      <c r="L67" s="12"/>
      <c r="M67" s="12"/>
      <c r="N67" s="12"/>
      <c r="O67" s="12"/>
      <c r="P67" s="12"/>
      <c r="Q67" s="12"/>
    </row>
    <row r="68" spans="1:17" ht="65.25" thickBot="1">
      <c r="A68" s="40" t="s">
        <v>2</v>
      </c>
      <c r="B68" s="40" t="s">
        <v>3</v>
      </c>
      <c r="C68" s="41" t="s">
        <v>1</v>
      </c>
      <c r="D68" s="36" t="s">
        <v>4</v>
      </c>
      <c r="E68" s="37" t="s">
        <v>5</v>
      </c>
      <c r="F68" s="37" t="s">
        <v>6</v>
      </c>
      <c r="G68" s="37" t="s">
        <v>7</v>
      </c>
      <c r="H68" s="37" t="s">
        <v>8</v>
      </c>
      <c r="I68" s="37" t="s">
        <v>9</v>
      </c>
      <c r="J68" s="37" t="s">
        <v>10</v>
      </c>
      <c r="K68" s="42" t="s">
        <v>11</v>
      </c>
      <c r="L68" s="42" t="s">
        <v>12</v>
      </c>
      <c r="M68" s="42" t="s">
        <v>13</v>
      </c>
      <c r="N68" s="42" t="s">
        <v>14</v>
      </c>
      <c r="O68" s="43" t="s">
        <v>15</v>
      </c>
      <c r="P68" s="43" t="s">
        <v>16</v>
      </c>
      <c r="Q68" s="44" t="s">
        <v>17</v>
      </c>
    </row>
    <row r="69" spans="1:17" ht="12.75">
      <c r="A69" s="23" t="s">
        <v>18</v>
      </c>
      <c r="B69" s="24" t="s">
        <v>32</v>
      </c>
      <c r="C69" s="29">
        <v>264</v>
      </c>
      <c r="D69" s="26">
        <v>286</v>
      </c>
      <c r="E69" s="26">
        <v>44</v>
      </c>
      <c r="F69" s="26">
        <v>16</v>
      </c>
      <c r="G69" s="26">
        <v>88</v>
      </c>
      <c r="H69" s="26">
        <v>39</v>
      </c>
      <c r="I69" s="26">
        <v>59</v>
      </c>
      <c r="J69" s="26">
        <v>18</v>
      </c>
      <c r="K69" s="26">
        <v>256</v>
      </c>
      <c r="L69" s="26">
        <v>82</v>
      </c>
      <c r="M69" s="26">
        <v>122</v>
      </c>
      <c r="N69" s="26">
        <v>204</v>
      </c>
      <c r="O69" s="27">
        <v>0.796875</v>
      </c>
      <c r="P69" s="26">
        <v>0</v>
      </c>
      <c r="Q69" s="30" t="s">
        <v>19</v>
      </c>
    </row>
    <row r="70" spans="1:17" ht="12.75">
      <c r="A70" s="4" t="s">
        <v>20</v>
      </c>
      <c r="B70" s="19" t="s">
        <v>51</v>
      </c>
      <c r="C70" s="13">
        <v>240</v>
      </c>
      <c r="D70" s="6">
        <v>279</v>
      </c>
      <c r="E70" s="6">
        <v>31</v>
      </c>
      <c r="F70" s="6">
        <v>34</v>
      </c>
      <c r="G70" s="6">
        <v>70</v>
      </c>
      <c r="H70" s="6">
        <v>56</v>
      </c>
      <c r="I70" s="6">
        <v>41</v>
      </c>
      <c r="J70" s="6">
        <v>8</v>
      </c>
      <c r="K70" s="6">
        <v>247</v>
      </c>
      <c r="L70" s="6">
        <v>67</v>
      </c>
      <c r="M70" s="6">
        <v>108</v>
      </c>
      <c r="N70" s="6">
        <v>175</v>
      </c>
      <c r="O70" s="7">
        <v>0.708502024291498</v>
      </c>
      <c r="P70" s="6">
        <v>0</v>
      </c>
      <c r="Q70" s="13">
        <v>-24</v>
      </c>
    </row>
    <row r="71" spans="1:17" ht="12.75">
      <c r="A71" s="4" t="s">
        <v>21</v>
      </c>
      <c r="B71" s="19" t="s">
        <v>46</v>
      </c>
      <c r="C71" s="13">
        <v>236</v>
      </c>
      <c r="D71" s="6">
        <v>311</v>
      </c>
      <c r="E71" s="6">
        <v>12</v>
      </c>
      <c r="F71" s="6">
        <v>40</v>
      </c>
      <c r="G71" s="6">
        <v>85</v>
      </c>
      <c r="H71" s="6">
        <v>39</v>
      </c>
      <c r="I71" s="6">
        <v>47</v>
      </c>
      <c r="J71" s="6">
        <v>13</v>
      </c>
      <c r="K71" s="6">
        <v>274</v>
      </c>
      <c r="L71" s="6">
        <v>59</v>
      </c>
      <c r="M71" s="6">
        <v>125</v>
      </c>
      <c r="N71" s="6">
        <v>184</v>
      </c>
      <c r="O71" s="7">
        <v>0.6715328467153284</v>
      </c>
      <c r="P71" s="6">
        <v>0</v>
      </c>
      <c r="Q71" s="13">
        <v>-28</v>
      </c>
    </row>
    <row r="72" spans="1:17" ht="12.75">
      <c r="A72" s="4" t="s">
        <v>22</v>
      </c>
      <c r="B72" s="19" t="s">
        <v>50</v>
      </c>
      <c r="C72" s="13">
        <v>228</v>
      </c>
      <c r="D72" s="6">
        <v>289</v>
      </c>
      <c r="E72" s="6">
        <v>31</v>
      </c>
      <c r="F72" s="6">
        <v>31</v>
      </c>
      <c r="G72" s="6">
        <v>72</v>
      </c>
      <c r="H72" s="6">
        <v>49</v>
      </c>
      <c r="I72" s="6">
        <v>33</v>
      </c>
      <c r="J72" s="6">
        <v>12</v>
      </c>
      <c r="K72" s="6">
        <v>249</v>
      </c>
      <c r="L72" s="6">
        <v>62</v>
      </c>
      <c r="M72" s="6">
        <v>93</v>
      </c>
      <c r="N72" s="6">
        <v>155</v>
      </c>
      <c r="O72" s="7">
        <v>0.6224899598393574</v>
      </c>
      <c r="P72" s="6">
        <v>0</v>
      </c>
      <c r="Q72" s="13">
        <v>-36</v>
      </c>
    </row>
    <row r="73" spans="1:17" ht="12.75">
      <c r="A73" s="4" t="s">
        <v>23</v>
      </c>
      <c r="B73" s="19" t="s">
        <v>53</v>
      </c>
      <c r="C73" s="13">
        <v>222</v>
      </c>
      <c r="D73" s="6">
        <v>285</v>
      </c>
      <c r="E73" s="6">
        <v>19</v>
      </c>
      <c r="F73" s="6">
        <v>43</v>
      </c>
      <c r="G73" s="6">
        <v>77</v>
      </c>
      <c r="H73" s="6">
        <v>41</v>
      </c>
      <c r="I73" s="6">
        <v>36</v>
      </c>
      <c r="J73" s="6">
        <v>6</v>
      </c>
      <c r="K73" s="6">
        <v>250</v>
      </c>
      <c r="L73" s="6">
        <v>57</v>
      </c>
      <c r="M73" s="6">
        <v>103</v>
      </c>
      <c r="N73" s="6">
        <v>160</v>
      </c>
      <c r="O73" s="7">
        <v>0.64</v>
      </c>
      <c r="P73" s="6">
        <v>0</v>
      </c>
      <c r="Q73" s="13">
        <v>-42</v>
      </c>
    </row>
    <row r="74" spans="1:17" ht="12.75">
      <c r="A74" s="4" t="s">
        <v>24</v>
      </c>
      <c r="B74" s="19" t="s">
        <v>47</v>
      </c>
      <c r="C74" s="13">
        <v>220</v>
      </c>
      <c r="D74" s="6">
        <v>293</v>
      </c>
      <c r="E74" s="6">
        <v>11</v>
      </c>
      <c r="F74" s="6">
        <v>30</v>
      </c>
      <c r="G74" s="6">
        <v>102</v>
      </c>
      <c r="H74" s="6">
        <v>38</v>
      </c>
      <c r="I74" s="6">
        <v>30</v>
      </c>
      <c r="J74" s="6">
        <v>9</v>
      </c>
      <c r="K74" s="6">
        <v>250</v>
      </c>
      <c r="L74" s="6">
        <v>59</v>
      </c>
      <c r="M74" s="6">
        <v>118</v>
      </c>
      <c r="N74" s="6">
        <v>177</v>
      </c>
      <c r="O74" s="7">
        <v>0.708</v>
      </c>
      <c r="P74" s="6">
        <v>0</v>
      </c>
      <c r="Q74" s="13">
        <v>-44</v>
      </c>
    </row>
    <row r="75" spans="1:17" ht="12.75">
      <c r="A75" s="4" t="s">
        <v>25</v>
      </c>
      <c r="B75" s="19" t="s">
        <v>52</v>
      </c>
      <c r="C75" s="13">
        <v>210</v>
      </c>
      <c r="D75" s="6">
        <v>285</v>
      </c>
      <c r="E75" s="6">
        <v>17</v>
      </c>
      <c r="F75" s="6">
        <v>18</v>
      </c>
      <c r="G75" s="6">
        <v>56</v>
      </c>
      <c r="H75" s="6">
        <v>56</v>
      </c>
      <c r="I75" s="6">
        <v>48</v>
      </c>
      <c r="J75" s="6">
        <v>15</v>
      </c>
      <c r="K75" s="6">
        <v>253</v>
      </c>
      <c r="L75" s="6">
        <v>65</v>
      </c>
      <c r="M75" s="6">
        <v>110</v>
      </c>
      <c r="N75" s="6">
        <v>175</v>
      </c>
      <c r="O75" s="7">
        <v>0.691699604743083</v>
      </c>
      <c r="P75" s="6">
        <v>0</v>
      </c>
      <c r="Q75" s="13">
        <v>-54</v>
      </c>
    </row>
    <row r="76" spans="1:17" ht="12.75">
      <c r="A76" s="4" t="s">
        <v>26</v>
      </c>
      <c r="B76" s="19" t="s">
        <v>49</v>
      </c>
      <c r="C76" s="13">
        <v>200</v>
      </c>
      <c r="D76" s="26">
        <v>289</v>
      </c>
      <c r="E76" s="26">
        <v>9</v>
      </c>
      <c r="F76" s="26">
        <v>19</v>
      </c>
      <c r="G76" s="26">
        <v>90</v>
      </c>
      <c r="H76" s="26">
        <v>45</v>
      </c>
      <c r="I76" s="26">
        <v>30</v>
      </c>
      <c r="J76" s="26">
        <v>7</v>
      </c>
      <c r="K76" s="26">
        <v>250</v>
      </c>
      <c r="L76" s="26">
        <v>69</v>
      </c>
      <c r="M76" s="26">
        <v>103</v>
      </c>
      <c r="N76" s="6">
        <v>172</v>
      </c>
      <c r="O76" s="7">
        <v>0.688</v>
      </c>
      <c r="P76" s="6">
        <v>0</v>
      </c>
      <c r="Q76" s="13">
        <v>-64</v>
      </c>
    </row>
    <row r="77" spans="1:17" ht="12.75">
      <c r="A77" s="4" t="s">
        <v>27</v>
      </c>
      <c r="B77" s="19" t="s">
        <v>48</v>
      </c>
      <c r="C77" s="13">
        <v>196</v>
      </c>
      <c r="D77" s="6">
        <v>294</v>
      </c>
      <c r="E77" s="6">
        <v>1</v>
      </c>
      <c r="F77" s="6">
        <v>28</v>
      </c>
      <c r="G77" s="6">
        <v>70</v>
      </c>
      <c r="H77" s="6">
        <v>42</v>
      </c>
      <c r="I77" s="6">
        <v>39</v>
      </c>
      <c r="J77" s="6">
        <v>16</v>
      </c>
      <c r="K77" s="6">
        <v>260</v>
      </c>
      <c r="L77" s="6">
        <v>63</v>
      </c>
      <c r="M77" s="6">
        <v>104</v>
      </c>
      <c r="N77" s="6">
        <v>167</v>
      </c>
      <c r="O77" s="7">
        <v>0.6423076923076924</v>
      </c>
      <c r="P77" s="6">
        <v>0</v>
      </c>
      <c r="Q77" s="13">
        <v>-68</v>
      </c>
    </row>
    <row r="78" spans="1:17" ht="13.5" thickBot="1">
      <c r="A78" s="4" t="s">
        <v>28</v>
      </c>
      <c r="B78" s="19" t="s">
        <v>72</v>
      </c>
      <c r="C78" s="13">
        <v>191</v>
      </c>
      <c r="D78" s="6">
        <v>276</v>
      </c>
      <c r="E78" s="6">
        <v>26</v>
      </c>
      <c r="F78" s="6">
        <v>22</v>
      </c>
      <c r="G78" s="6">
        <v>67</v>
      </c>
      <c r="H78" s="6">
        <v>35</v>
      </c>
      <c r="I78" s="6">
        <v>39</v>
      </c>
      <c r="J78" s="6">
        <v>2</v>
      </c>
      <c r="K78" s="6">
        <v>241</v>
      </c>
      <c r="L78" s="6">
        <v>51</v>
      </c>
      <c r="M78" s="6">
        <v>92</v>
      </c>
      <c r="N78" s="6">
        <v>143</v>
      </c>
      <c r="O78" s="7">
        <v>0.5933609958506224</v>
      </c>
      <c r="P78" s="6">
        <v>0</v>
      </c>
      <c r="Q78" s="13">
        <v>-73</v>
      </c>
    </row>
    <row r="79" spans="1:4" ht="13.5" thickBot="1">
      <c r="A79" s="123" t="s">
        <v>45</v>
      </c>
      <c r="B79" s="124"/>
      <c r="C79" s="125"/>
      <c r="D79" s="21">
        <v>220.7</v>
      </c>
    </row>
    <row r="80" ht="13.5" thickBot="1"/>
    <row r="81" spans="1:17" ht="27.75">
      <c r="A81" s="133" t="s">
        <v>29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5"/>
    </row>
    <row r="82" spans="1:17" ht="12.75">
      <c r="A82" s="10"/>
      <c r="B82" s="10"/>
      <c r="C82" s="10"/>
      <c r="D82" s="10"/>
      <c r="E82" s="129" t="s">
        <v>1</v>
      </c>
      <c r="F82" s="129"/>
      <c r="G82" s="129"/>
      <c r="H82" s="129"/>
      <c r="I82" s="129"/>
      <c r="J82" s="129"/>
      <c r="K82" s="11"/>
      <c r="L82" s="12"/>
      <c r="M82" s="12"/>
      <c r="N82" s="12"/>
      <c r="O82" s="12"/>
      <c r="P82" s="12"/>
      <c r="Q82" s="12"/>
    </row>
    <row r="83" spans="1:17" ht="65.25" thickBot="1">
      <c r="A83" s="40" t="s">
        <v>2</v>
      </c>
      <c r="B83" s="40" t="s">
        <v>3</v>
      </c>
      <c r="C83" s="41" t="s">
        <v>1</v>
      </c>
      <c r="D83" s="36" t="s">
        <v>4</v>
      </c>
      <c r="E83" s="37" t="s">
        <v>5</v>
      </c>
      <c r="F83" s="37" t="s">
        <v>6</v>
      </c>
      <c r="G83" s="37" t="s">
        <v>7</v>
      </c>
      <c r="H83" s="37" t="s">
        <v>8</v>
      </c>
      <c r="I83" s="37" t="s">
        <v>9</v>
      </c>
      <c r="J83" s="37" t="s">
        <v>10</v>
      </c>
      <c r="K83" s="42" t="s">
        <v>11</v>
      </c>
      <c r="L83" s="42" t="s">
        <v>12</v>
      </c>
      <c r="M83" s="42" t="s">
        <v>13</v>
      </c>
      <c r="N83" s="42" t="s">
        <v>14</v>
      </c>
      <c r="O83" s="43" t="s">
        <v>15</v>
      </c>
      <c r="P83" s="43" t="s">
        <v>16</v>
      </c>
      <c r="Q83" s="44" t="s">
        <v>17</v>
      </c>
    </row>
    <row r="84" spans="1:17" ht="12.75">
      <c r="A84" s="23" t="s">
        <v>18</v>
      </c>
      <c r="B84" s="24" t="s">
        <v>47</v>
      </c>
      <c r="C84" s="29">
        <v>192</v>
      </c>
      <c r="D84" s="26">
        <v>225</v>
      </c>
      <c r="E84" s="26">
        <v>32</v>
      </c>
      <c r="F84" s="26">
        <v>26</v>
      </c>
      <c r="G84" s="26">
        <v>65</v>
      </c>
      <c r="H84" s="26">
        <v>33</v>
      </c>
      <c r="I84" s="26">
        <v>32</v>
      </c>
      <c r="J84" s="26">
        <v>4</v>
      </c>
      <c r="K84" s="26">
        <v>191</v>
      </c>
      <c r="L84" s="26">
        <v>49</v>
      </c>
      <c r="M84" s="26">
        <v>82</v>
      </c>
      <c r="N84" s="26">
        <v>131</v>
      </c>
      <c r="O84" s="27">
        <v>0.6858638743455497</v>
      </c>
      <c r="P84" s="26">
        <v>0</v>
      </c>
      <c r="Q84" s="30" t="s">
        <v>19</v>
      </c>
    </row>
    <row r="85" spans="1:17" ht="12.75">
      <c r="A85" s="4" t="s">
        <v>20</v>
      </c>
      <c r="B85" s="19" t="s">
        <v>32</v>
      </c>
      <c r="C85" s="13">
        <v>192</v>
      </c>
      <c r="D85" s="6">
        <v>237</v>
      </c>
      <c r="E85" s="6">
        <v>30</v>
      </c>
      <c r="F85" s="6">
        <v>20</v>
      </c>
      <c r="G85" s="6">
        <v>66</v>
      </c>
      <c r="H85" s="6">
        <v>33</v>
      </c>
      <c r="I85" s="6">
        <v>34</v>
      </c>
      <c r="J85" s="6">
        <v>9</v>
      </c>
      <c r="K85" s="6">
        <v>209</v>
      </c>
      <c r="L85" s="6">
        <v>51</v>
      </c>
      <c r="M85" s="6">
        <v>91</v>
      </c>
      <c r="N85" s="6">
        <v>142</v>
      </c>
      <c r="O85" s="7">
        <v>0.6794258373205742</v>
      </c>
      <c r="P85" s="6">
        <v>0</v>
      </c>
      <c r="Q85" s="13">
        <v>0</v>
      </c>
    </row>
    <row r="86" spans="1:17" ht="12.75">
      <c r="A86" s="4" t="s">
        <v>21</v>
      </c>
      <c r="B86" s="19" t="s">
        <v>46</v>
      </c>
      <c r="C86" s="13">
        <v>185</v>
      </c>
      <c r="D86" s="6">
        <v>235</v>
      </c>
      <c r="E86" s="6">
        <v>15</v>
      </c>
      <c r="F86" s="6">
        <v>31</v>
      </c>
      <c r="G86" s="6">
        <v>72</v>
      </c>
      <c r="H86" s="6">
        <v>37</v>
      </c>
      <c r="I86" s="6">
        <v>23</v>
      </c>
      <c r="J86" s="6">
        <v>7</v>
      </c>
      <c r="K86" s="6">
        <v>205</v>
      </c>
      <c r="L86" s="6">
        <v>51</v>
      </c>
      <c r="M86" s="6">
        <v>88</v>
      </c>
      <c r="N86" s="6">
        <v>139</v>
      </c>
      <c r="O86" s="7">
        <v>0.6780487804878049</v>
      </c>
      <c r="P86" s="6">
        <v>0</v>
      </c>
      <c r="Q86" s="13">
        <v>-7</v>
      </c>
    </row>
    <row r="87" spans="1:17" ht="12.75">
      <c r="A87" s="4" t="s">
        <v>22</v>
      </c>
      <c r="B87" s="19" t="s">
        <v>52</v>
      </c>
      <c r="C87" s="13">
        <v>173</v>
      </c>
      <c r="D87" s="6">
        <v>224</v>
      </c>
      <c r="E87" s="6">
        <v>0</v>
      </c>
      <c r="F87" s="6">
        <v>31</v>
      </c>
      <c r="G87" s="6">
        <v>69</v>
      </c>
      <c r="H87" s="6">
        <v>33</v>
      </c>
      <c r="I87" s="6">
        <v>30</v>
      </c>
      <c r="J87" s="6">
        <v>10</v>
      </c>
      <c r="K87" s="6">
        <v>198</v>
      </c>
      <c r="L87" s="6">
        <v>62</v>
      </c>
      <c r="M87" s="6">
        <v>80</v>
      </c>
      <c r="N87" s="6">
        <v>142</v>
      </c>
      <c r="O87" s="7">
        <v>0.7171717171717171</v>
      </c>
      <c r="P87" s="6">
        <v>0</v>
      </c>
      <c r="Q87" s="13">
        <v>-19</v>
      </c>
    </row>
    <row r="88" spans="1:17" ht="12.75">
      <c r="A88" s="4" t="s">
        <v>23</v>
      </c>
      <c r="B88" s="19" t="s">
        <v>53</v>
      </c>
      <c r="C88" s="13">
        <v>172</v>
      </c>
      <c r="D88" s="6">
        <v>211</v>
      </c>
      <c r="E88" s="6">
        <v>13</v>
      </c>
      <c r="F88" s="6">
        <v>32</v>
      </c>
      <c r="G88" s="6">
        <v>59</v>
      </c>
      <c r="H88" s="6">
        <v>31</v>
      </c>
      <c r="I88" s="6">
        <v>33</v>
      </c>
      <c r="J88" s="6">
        <v>4</v>
      </c>
      <c r="K88" s="6">
        <v>185</v>
      </c>
      <c r="L88" s="6">
        <v>37</v>
      </c>
      <c r="M88" s="6">
        <v>90</v>
      </c>
      <c r="N88" s="6">
        <v>127</v>
      </c>
      <c r="O88" s="7">
        <v>0.6864864864864865</v>
      </c>
      <c r="P88" s="6">
        <v>0</v>
      </c>
      <c r="Q88" s="13">
        <v>-20</v>
      </c>
    </row>
    <row r="89" spans="1:17" ht="12.75">
      <c r="A89" s="4" t="s">
        <v>24</v>
      </c>
      <c r="B89" s="19" t="s">
        <v>50</v>
      </c>
      <c r="C89" s="13">
        <v>170</v>
      </c>
      <c r="D89" s="6">
        <v>218</v>
      </c>
      <c r="E89" s="6">
        <v>8</v>
      </c>
      <c r="F89" s="6">
        <v>26</v>
      </c>
      <c r="G89" s="6">
        <v>44</v>
      </c>
      <c r="H89" s="6">
        <v>44</v>
      </c>
      <c r="I89" s="6">
        <v>40</v>
      </c>
      <c r="J89" s="6">
        <v>8</v>
      </c>
      <c r="K89" s="6">
        <v>189</v>
      </c>
      <c r="L89" s="6">
        <v>46</v>
      </c>
      <c r="M89" s="6">
        <v>88</v>
      </c>
      <c r="N89" s="6">
        <v>134</v>
      </c>
      <c r="O89" s="7">
        <v>0.708994708994709</v>
      </c>
      <c r="P89" s="6">
        <v>0</v>
      </c>
      <c r="Q89" s="13">
        <v>-22</v>
      </c>
    </row>
    <row r="90" spans="1:17" ht="12.75">
      <c r="A90" s="4" t="s">
        <v>25</v>
      </c>
      <c r="B90" s="19" t="s">
        <v>48</v>
      </c>
      <c r="C90" s="13">
        <v>170</v>
      </c>
      <c r="D90" s="6">
        <v>220</v>
      </c>
      <c r="E90" s="6">
        <v>12</v>
      </c>
      <c r="F90" s="6">
        <v>19</v>
      </c>
      <c r="G90" s="6">
        <v>59</v>
      </c>
      <c r="H90" s="6">
        <v>40</v>
      </c>
      <c r="I90" s="6">
        <v>34</v>
      </c>
      <c r="J90" s="6">
        <v>6</v>
      </c>
      <c r="K90" s="6">
        <v>193</v>
      </c>
      <c r="L90" s="6">
        <v>53</v>
      </c>
      <c r="M90" s="6">
        <v>86</v>
      </c>
      <c r="N90" s="6">
        <v>139</v>
      </c>
      <c r="O90" s="7">
        <v>0.7202072538860104</v>
      </c>
      <c r="P90" s="6">
        <v>0</v>
      </c>
      <c r="Q90" s="13">
        <v>-22</v>
      </c>
    </row>
    <row r="91" spans="1:17" ht="12.75">
      <c r="A91" s="4" t="s">
        <v>26</v>
      </c>
      <c r="B91" s="19" t="s">
        <v>49</v>
      </c>
      <c r="C91" s="13">
        <v>161</v>
      </c>
      <c r="D91" s="26">
        <v>204</v>
      </c>
      <c r="E91" s="26">
        <v>27</v>
      </c>
      <c r="F91" s="26">
        <v>18</v>
      </c>
      <c r="G91" s="26">
        <v>58</v>
      </c>
      <c r="H91" s="26">
        <v>32</v>
      </c>
      <c r="I91" s="26">
        <v>21</v>
      </c>
      <c r="J91" s="26">
        <v>5</v>
      </c>
      <c r="K91" s="26">
        <v>183</v>
      </c>
      <c r="L91" s="26">
        <v>49</v>
      </c>
      <c r="M91" s="26">
        <v>67</v>
      </c>
      <c r="N91" s="6">
        <v>116</v>
      </c>
      <c r="O91" s="7">
        <v>0.6338797814207651</v>
      </c>
      <c r="P91" s="6">
        <v>0</v>
      </c>
      <c r="Q91" s="13">
        <v>-31</v>
      </c>
    </row>
    <row r="92" spans="1:17" ht="12.75">
      <c r="A92" s="4" t="s">
        <v>27</v>
      </c>
      <c r="B92" s="19" t="s">
        <v>51</v>
      </c>
      <c r="C92" s="13">
        <v>143</v>
      </c>
      <c r="D92" s="6">
        <v>209</v>
      </c>
      <c r="E92" s="6">
        <v>12</v>
      </c>
      <c r="F92" s="6">
        <v>21</v>
      </c>
      <c r="G92" s="6">
        <v>48</v>
      </c>
      <c r="H92" s="6">
        <v>42</v>
      </c>
      <c r="I92" s="6">
        <v>16</v>
      </c>
      <c r="J92" s="6">
        <v>4</v>
      </c>
      <c r="K92" s="6">
        <v>182</v>
      </c>
      <c r="L92" s="6">
        <v>37</v>
      </c>
      <c r="M92" s="6">
        <v>73</v>
      </c>
      <c r="N92" s="6">
        <v>110</v>
      </c>
      <c r="O92" s="7">
        <v>0.6043956043956044</v>
      </c>
      <c r="P92" s="6">
        <v>0</v>
      </c>
      <c r="Q92" s="13">
        <v>-49</v>
      </c>
    </row>
    <row r="93" spans="1:17" ht="13.5" thickBot="1">
      <c r="A93" s="4" t="s">
        <v>28</v>
      </c>
      <c r="B93" s="19" t="s">
        <v>72</v>
      </c>
      <c r="C93" s="13">
        <v>134</v>
      </c>
      <c r="D93" s="6">
        <v>195</v>
      </c>
      <c r="E93" s="6">
        <v>20</v>
      </c>
      <c r="F93" s="6">
        <v>11</v>
      </c>
      <c r="G93" s="6">
        <v>48</v>
      </c>
      <c r="H93" s="6">
        <v>27</v>
      </c>
      <c r="I93" s="6">
        <v>25</v>
      </c>
      <c r="J93" s="6">
        <v>3</v>
      </c>
      <c r="K93" s="6">
        <v>171</v>
      </c>
      <c r="L93" s="6">
        <v>40</v>
      </c>
      <c r="M93" s="6">
        <v>63</v>
      </c>
      <c r="N93" s="6">
        <v>103</v>
      </c>
      <c r="O93" s="7">
        <v>0.6023391812865497</v>
      </c>
      <c r="P93" s="6">
        <v>0</v>
      </c>
      <c r="Q93" s="13">
        <v>-58</v>
      </c>
    </row>
    <row r="94" spans="1:4" ht="13.5" thickBot="1">
      <c r="A94" s="123" t="s">
        <v>45</v>
      </c>
      <c r="B94" s="124"/>
      <c r="C94" s="125"/>
      <c r="D94" s="21">
        <v>169.2</v>
      </c>
    </row>
  </sheetData>
  <mergeCells count="17">
    <mergeCell ref="E37:J37"/>
    <mergeCell ref="A49:C49"/>
    <mergeCell ref="E7:I7"/>
    <mergeCell ref="E8:I8"/>
    <mergeCell ref="A21:Q21"/>
    <mergeCell ref="E22:J22"/>
    <mergeCell ref="A34:C34"/>
    <mergeCell ref="A36:Q36"/>
    <mergeCell ref="A51:Q51"/>
    <mergeCell ref="E52:J52"/>
    <mergeCell ref="A64:C64"/>
    <mergeCell ref="A94:C94"/>
    <mergeCell ref="A81:Q81"/>
    <mergeCell ref="E82:J82"/>
    <mergeCell ref="A66:Q66"/>
    <mergeCell ref="E67:J67"/>
    <mergeCell ref="A79:C79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6:T26"/>
  <sheetViews>
    <sheetView workbookViewId="0" topLeftCell="A1">
      <selection activeCell="I12" sqref="I12"/>
    </sheetView>
  </sheetViews>
  <sheetFormatPr defaultColWidth="11.421875" defaultRowHeight="12.75"/>
  <cols>
    <col min="1" max="1" width="5.00390625" style="0" customWidth="1"/>
    <col min="2" max="2" width="14.00390625" style="0" customWidth="1"/>
    <col min="3" max="3" width="9.00390625" style="0" customWidth="1"/>
    <col min="4" max="6" width="6.140625" style="0" customWidth="1"/>
    <col min="7" max="7" width="6.00390625" style="0" customWidth="1"/>
    <col min="8" max="13" width="6.140625" style="0" customWidth="1"/>
    <col min="14" max="14" width="6.00390625" style="0" customWidth="1"/>
    <col min="15" max="18" width="6.140625" style="0" customWidth="1"/>
    <col min="19" max="19" width="5.7109375" style="0" customWidth="1"/>
    <col min="20" max="20" width="6.421875" style="0" customWidth="1"/>
  </cols>
  <sheetData>
    <row r="5" ht="13.5" thickBot="1"/>
    <row r="6" spans="1:19" ht="28.5" thickBot="1">
      <c r="A6" s="141" t="s">
        <v>91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1:19" ht="12.75">
      <c r="A7" s="1"/>
      <c r="B7" s="1"/>
      <c r="C7" s="1"/>
      <c r="D7" s="106" t="s">
        <v>109</v>
      </c>
      <c r="E7" s="164" t="s">
        <v>108</v>
      </c>
      <c r="F7" s="165"/>
      <c r="G7" s="165"/>
      <c r="H7" s="165"/>
      <c r="I7" s="165"/>
      <c r="J7" s="165"/>
      <c r="K7" s="165"/>
      <c r="L7" s="165"/>
      <c r="M7" s="166"/>
      <c r="N7" s="108" t="s">
        <v>107</v>
      </c>
      <c r="O7" s="109"/>
      <c r="P7" s="110"/>
      <c r="Q7" s="167" t="s">
        <v>92</v>
      </c>
      <c r="R7" s="168"/>
      <c r="S7" s="169"/>
    </row>
    <row r="8" spans="1:19" ht="87" thickBot="1">
      <c r="A8" s="45" t="s">
        <v>2</v>
      </c>
      <c r="B8" s="45" t="s">
        <v>3</v>
      </c>
      <c r="C8" s="46" t="s">
        <v>86</v>
      </c>
      <c r="D8" s="107" t="s">
        <v>96</v>
      </c>
      <c r="E8" s="42" t="s">
        <v>97</v>
      </c>
      <c r="F8" s="42" t="s">
        <v>95</v>
      </c>
      <c r="G8" s="42" t="s">
        <v>99</v>
      </c>
      <c r="H8" s="42" t="s">
        <v>100</v>
      </c>
      <c r="I8" s="85" t="s">
        <v>101</v>
      </c>
      <c r="J8" s="42" t="s">
        <v>104</v>
      </c>
      <c r="K8" s="85" t="s">
        <v>105</v>
      </c>
      <c r="L8" s="42" t="s">
        <v>106</v>
      </c>
      <c r="M8" s="42" t="s">
        <v>110</v>
      </c>
      <c r="N8" s="36" t="s">
        <v>102</v>
      </c>
      <c r="O8" s="36" t="s">
        <v>103</v>
      </c>
      <c r="P8" s="36" t="s">
        <v>87</v>
      </c>
      <c r="Q8" s="35" t="s">
        <v>88</v>
      </c>
      <c r="R8" s="35" t="s">
        <v>89</v>
      </c>
      <c r="S8" s="35" t="s">
        <v>90</v>
      </c>
    </row>
    <row r="9" spans="1:19" ht="12.75">
      <c r="A9" s="23" t="s">
        <v>18</v>
      </c>
      <c r="B9" s="24" t="s">
        <v>47</v>
      </c>
      <c r="C9" s="95">
        <f aca="true" t="shared" si="0" ref="C9:C18">SUM(D9:S9)</f>
        <v>10</v>
      </c>
      <c r="D9" s="88">
        <v>10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1"/>
      <c r="S9" s="91"/>
    </row>
    <row r="10" spans="1:19" ht="12.75">
      <c r="A10" s="4" t="s">
        <v>20</v>
      </c>
      <c r="B10" s="19" t="s">
        <v>32</v>
      </c>
      <c r="C10" s="95">
        <f t="shared" si="0"/>
        <v>10</v>
      </c>
      <c r="D10" s="89">
        <v>10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90"/>
    </row>
    <row r="11" spans="1:19" ht="12.75">
      <c r="A11" s="4" t="s">
        <v>21</v>
      </c>
      <c r="B11" s="19" t="s">
        <v>49</v>
      </c>
      <c r="C11" s="95">
        <f t="shared" si="0"/>
        <v>10</v>
      </c>
      <c r="D11" s="89">
        <v>10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0"/>
    </row>
    <row r="12" spans="1:19" ht="12.75">
      <c r="A12" s="4" t="s">
        <v>22</v>
      </c>
      <c r="B12" s="19" t="s">
        <v>52</v>
      </c>
      <c r="C12" s="95">
        <f t="shared" si="0"/>
        <v>10</v>
      </c>
      <c r="D12" s="89">
        <v>10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2"/>
      <c r="S12" s="92"/>
    </row>
    <row r="13" spans="1:19" ht="12.75">
      <c r="A13" s="4" t="s">
        <v>23</v>
      </c>
      <c r="B13" s="19" t="s">
        <v>50</v>
      </c>
      <c r="C13" s="95">
        <f t="shared" si="0"/>
        <v>10</v>
      </c>
      <c r="D13" s="89">
        <v>10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90"/>
    </row>
    <row r="14" spans="1:19" ht="12.75">
      <c r="A14" s="4" t="s">
        <v>24</v>
      </c>
      <c r="B14" s="19" t="s">
        <v>48</v>
      </c>
      <c r="C14" s="95">
        <f t="shared" si="0"/>
        <v>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90"/>
    </row>
    <row r="15" spans="1:19" ht="12.75">
      <c r="A15" s="4" t="s">
        <v>25</v>
      </c>
      <c r="B15" s="19" t="s">
        <v>46</v>
      </c>
      <c r="C15" s="95">
        <f t="shared" si="0"/>
        <v>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102"/>
      <c r="S15" s="102"/>
    </row>
    <row r="16" spans="1:19" ht="12.75">
      <c r="A16" s="23" t="s">
        <v>26</v>
      </c>
      <c r="B16" s="24" t="s">
        <v>51</v>
      </c>
      <c r="C16" s="95">
        <f t="shared" si="0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03"/>
      <c r="S16" s="103"/>
    </row>
    <row r="17" spans="1:19" ht="12.75">
      <c r="A17" s="4" t="s">
        <v>27</v>
      </c>
      <c r="B17" s="19" t="s">
        <v>72</v>
      </c>
      <c r="C17" s="95">
        <f t="shared" si="0"/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90"/>
    </row>
    <row r="18" spans="1:19" ht="12.75">
      <c r="A18" s="4" t="s">
        <v>28</v>
      </c>
      <c r="B18" s="19" t="s">
        <v>53</v>
      </c>
      <c r="C18" s="95">
        <f t="shared" si="0"/>
        <v>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94"/>
    </row>
    <row r="19" spans="4:20" ht="12.75">
      <c r="D19" s="86">
        <v>70</v>
      </c>
      <c r="E19" s="86">
        <v>5</v>
      </c>
      <c r="F19" s="86">
        <v>5</v>
      </c>
      <c r="G19" s="86">
        <v>5</v>
      </c>
      <c r="H19" s="86">
        <v>5</v>
      </c>
      <c r="I19" s="86">
        <v>5</v>
      </c>
      <c r="J19" s="86">
        <v>5</v>
      </c>
      <c r="K19" s="86">
        <v>5</v>
      </c>
      <c r="L19" s="86">
        <v>5</v>
      </c>
      <c r="M19" s="86">
        <v>5</v>
      </c>
      <c r="N19" s="86">
        <v>60</v>
      </c>
      <c r="O19" s="86">
        <v>30</v>
      </c>
      <c r="P19" s="86">
        <v>20</v>
      </c>
      <c r="Q19" s="86">
        <v>40</v>
      </c>
      <c r="R19" s="86">
        <v>20</v>
      </c>
      <c r="S19" s="86">
        <v>15</v>
      </c>
      <c r="T19" s="87">
        <f>SUM(D19:S19)</f>
        <v>300</v>
      </c>
    </row>
    <row r="26" ht="12.75">
      <c r="D26" s="105"/>
    </row>
  </sheetData>
  <mergeCells count="3">
    <mergeCell ref="E7:M7"/>
    <mergeCell ref="A6:S6"/>
    <mergeCell ref="Q7:S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B.</dc:creator>
  <cp:keywords/>
  <dc:description/>
  <cp:lastModifiedBy>Johnny B.</cp:lastModifiedBy>
  <dcterms:created xsi:type="dcterms:W3CDTF">2007-09-06T00:33:02Z</dcterms:created>
  <dcterms:modified xsi:type="dcterms:W3CDTF">2009-03-13T04:18:11Z</dcterms:modified>
  <cp:category/>
  <cp:version/>
  <cp:contentType/>
  <cp:contentStatus/>
</cp:coreProperties>
</file>